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comments7.xml" ContentType="application/vnd.openxmlformats-officedocument.spreadsheetml.comment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7.xml.rels" ContentType="application/vnd.openxmlformats-package.relationships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comments2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mmary" sheetId="1" state="visible" r:id="rId3"/>
    <sheet name="Assumptions" sheetId="2" state="visible" r:id="rId4"/>
    <sheet name="DCF" sheetId="3" state="visible" r:id="rId5"/>
    <sheet name="Reverse DCF" sheetId="4" state="visible" r:id="rId6"/>
    <sheet name="Comps" sheetId="5" state="visible" r:id="rId7"/>
    <sheet name="DDM" sheetId="6" state="visible" r:id="rId8"/>
    <sheet name="Backlog" sheetId="7" state="visible" r:id="rId9"/>
    <sheet name="Scenario" sheetId="8" state="visible" r:id="rId10"/>
    <sheet name="Sensitivity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5" authorId="0">
      <text>
        <r>
          <rPr>
            <sz val="10"/>
            <rFont val="Arial"/>
            <family val="2"/>
          </rPr>
          <t xml:space="preserve">Assumption — update to live price. Stock ~$720 per Seeking Alpha (May 2026).</t>
        </r>
      </text>
    </comment>
    <comment ref="B6" authorId="0">
      <text>
        <r>
          <rPr>
            <sz val="10"/>
            <rFont val="Arial"/>
            <family val="2"/>
          </rPr>
          <t xml:space="preserve">Source: Argan 10-Q Q1 FY2027, diluted WAS 14,197K.</t>
        </r>
      </text>
    </comment>
    <comment ref="B7" authorId="0">
      <text>
        <r>
          <rPr>
            <sz val="10"/>
            <rFont val="Arial"/>
            <family val="2"/>
          </rPr>
          <t xml:space="preserve">Source: Argan 8-K Q1 FY27 — no debt.</t>
        </r>
      </text>
    </comment>
    <comment ref="B8" authorId="0">
      <text>
        <r>
          <rPr>
            <sz val="10"/>
            <rFont val="Arial"/>
            <family val="2"/>
          </rPr>
          <t xml:space="preserve">Source: Argan 8-K Q1 FY27 — $421.4mm net liquidity at 4/30/26.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5" authorId="0">
      <text>
        <r>
          <rPr>
            <sz val="10"/>
            <rFont val="Arial"/>
            <family val="2"/>
          </rPr>
          <t xml:space="preserve">Source: Argan FY26 8-K / stockanalysis — $944.61mm.</t>
        </r>
      </text>
    </comment>
    <comment ref="B6" authorId="0">
      <text>
        <r>
          <rPr>
            <sz val="10"/>
            <rFont val="Arial"/>
            <family val="2"/>
          </rPr>
          <t xml:space="preserve">Source: Argan FY26 ARS — EBITDA $162,797K.</t>
        </r>
      </text>
    </comment>
    <comment ref="B7" authorId="0">
      <text>
        <r>
          <rPr>
            <sz val="10"/>
            <rFont val="Arial"/>
            <family val="2"/>
          </rPr>
          <t xml:space="preserve">Source: Argan FY26 8-K — $137,774K.</t>
        </r>
      </text>
    </comment>
    <comment ref="B8" authorId="0">
      <text>
        <r>
          <rPr>
            <sz val="10"/>
            <rFont val="Arial"/>
            <family val="2"/>
          </rPr>
          <t xml:space="preserve">Source: FY26 ARS — D&amp;A $1,912K + $376K.</t>
        </r>
      </text>
    </comment>
    <comment ref="B9" authorId="0">
      <text>
        <r>
          <rPr>
            <sz val="10"/>
            <rFont val="Arial"/>
            <family val="2"/>
          </rPr>
          <t xml:space="preserve">Source: FY26 ARS — tax $22,735K / pre-tax $160,509K ≈ 14.2%.</t>
        </r>
      </text>
    </comment>
    <comment ref="B14" authorId="0">
      <text>
        <r>
          <rPr>
            <sz val="10"/>
            <rFont val="Arial"/>
            <family val="2"/>
          </rPr>
          <t xml:space="preserve">Backlog doubled YoY; strong near-term conversion.</t>
        </r>
      </text>
    </comment>
    <comment ref="B19" authorId="0">
      <text>
        <r>
          <rPr>
            <sz val="10"/>
            <rFont val="Arial"/>
            <family val="2"/>
          </rPr>
          <t xml:space="preserve">FY26 ~17.2%; margin expansion on larger projects.</t>
        </r>
      </text>
    </comment>
    <comment ref="B20" authorId="0">
      <text>
        <r>
          <rPr>
            <sz val="10"/>
            <rFont val="Arial"/>
            <family val="2"/>
          </rPr>
          <t xml:space="preserve">Asset-light EPC model.</t>
        </r>
      </text>
    </comment>
    <comment ref="B21" authorId="0">
      <text>
        <r>
          <rPr>
            <sz val="10"/>
            <rFont val="Arial"/>
            <family val="2"/>
          </rPr>
          <t xml:space="preserve">Low capital intensity.</t>
        </r>
      </text>
    </comment>
    <comment ref="B22" authorId="0">
      <text>
        <r>
          <rPr>
            <sz val="10"/>
            <rFont val="Arial"/>
            <family val="2"/>
          </rPr>
          <t xml:space="preserve">Working-capital draw on growth.</t>
        </r>
      </text>
    </comment>
    <comment ref="B25" authorId="0">
      <text>
        <r>
          <rPr>
            <sz val="10"/>
            <rFont val="Arial"/>
            <family val="2"/>
          </rPr>
          <t xml:space="preserve">10-yr UST proxy.</t>
        </r>
      </text>
    </comment>
    <comment ref="B26" authorId="0">
      <text>
        <r>
          <rPr>
            <sz val="10"/>
            <rFont val="Arial"/>
            <family val="2"/>
          </rPr>
          <t xml:space="preserve">Market ERP assumption.</t>
        </r>
      </text>
    </comment>
    <comment ref="B27" authorId="0">
      <text>
        <r>
          <rPr>
            <sz val="10"/>
            <rFont val="Arial"/>
            <family val="2"/>
          </rPr>
          <t xml:space="preserve">Levered beta proxy for E&amp;C/power-infra.</t>
        </r>
      </text>
    </comment>
    <comment ref="B29" authorId="0">
      <text>
        <r>
          <rPr>
            <sz val="10"/>
            <rFont val="Arial"/>
            <family val="2"/>
          </rPr>
          <t xml:space="preserve">Illustrative; company is debt-free.</t>
        </r>
      </text>
    </comment>
    <comment ref="B32" authorId="0">
      <text>
        <r>
          <rPr>
            <sz val="10"/>
            <rFont val="Arial"/>
            <family val="2"/>
          </rPr>
          <t xml:space="preserve">Debt-free → ~100% equity.</t>
        </r>
      </text>
    </comment>
    <comment ref="B37" authorId="0">
      <text>
        <r>
          <rPr>
            <sz val="10"/>
            <rFont val="Arial"/>
            <family val="2"/>
          </rPr>
          <t xml:space="preserve">Long-run nominal GDP-ish.</t>
        </r>
      </text>
    </comment>
    <comment ref="B38" authorId="0">
      <text>
        <r>
          <rPr>
            <sz val="10"/>
            <rFont val="Arial"/>
            <family val="2"/>
          </rPr>
          <t xml:space="preserve">Mid-cycle multiple for quality infra contractor.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18" authorId="0">
      <text>
        <r>
          <rPr>
            <sz val="10"/>
            <rFont val="Arial"/>
            <family val="2"/>
          </rPr>
          <t xml:space="preserve">AGX smaller &amp; more project-concentrated than large E&amp;C peers; apply ~15% haircut.</t>
        </r>
      </text>
    </comment>
    <comment ref="B24" authorId="0">
      <text>
        <r>
          <rPr>
            <sz val="10"/>
            <rFont val="Arial"/>
            <family val="2"/>
          </rPr>
          <t xml:space="preserve">FY26 net income $137.774mm / diluted shares.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5" authorId="0">
      <text>
        <r>
          <rPr>
            <sz val="10"/>
            <rFont val="Arial"/>
            <family val="2"/>
          </rPr>
          <t xml:space="preserve">$0.50 quarterly × 4 (raised from $0.375). Source: Argan 8-K Apr &amp; Jun 2026.</t>
        </r>
      </text>
    </comment>
    <comment ref="B7" authorId="0">
      <text>
        <r>
          <rPr>
            <sz val="10"/>
            <rFont val="Arial"/>
            <family val="2"/>
          </rPr>
          <t xml:space="preserve">Dividend raised 33% YoY ($0.375→$0.50); assume strong but moderating.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5" authorId="0">
      <text>
        <r>
          <rPr>
            <sz val="10"/>
            <rFont val="Arial"/>
            <family val="2"/>
          </rPr>
          <t xml:space="preserve">Source: Argan Q1 FY27 8-K — $2.8B at 4/30/26.</t>
        </r>
      </text>
    </comment>
    <comment ref="B6" authorId="0">
      <text>
        <r>
          <rPr>
            <sz val="10"/>
            <rFont val="Arial"/>
            <family val="2"/>
          </rPr>
          <t xml:space="preserve">Share of opening backlog recognized as revenue each year.</t>
        </r>
      </text>
    </comment>
    <comment ref="B7" authorId="0">
      <text>
        <r>
          <rPr>
            <sz val="10"/>
            <rFont val="Arial"/>
            <family val="2"/>
          </rPr>
          <t xml:space="preserve">New awards as a multiple of revenue recognized; &gt;1 = backlog grows.</t>
        </r>
      </text>
    </comment>
  </commentList>
</comments>
</file>

<file path=xl/sharedStrings.xml><?xml version="1.0" encoding="utf-8"?>
<sst xmlns="http://schemas.openxmlformats.org/spreadsheetml/2006/main" count="231" uniqueCount="208">
  <si>
    <t xml:space="preserve">ARGAN, INC. (NYSE: AGX) — VALUATION SUMMARY</t>
  </si>
  <si>
    <t xml:space="preserve">Independent equity research · Multi-model valuation package · By Tommy Saba</t>
  </si>
  <si>
    <t xml:space="preserve">COMPANY &amp; MARKET DATA  ($ in millions, except per-share)</t>
  </si>
  <si>
    <t xml:space="preserve">Current share price (assumption — update)</t>
  </si>
  <si>
    <t xml:space="preserve">Diluted shares outstanding (mm)</t>
  </si>
  <si>
    <t xml:space="preserve">Total debt</t>
  </si>
  <si>
    <t xml:space="preserve">Cash &amp; net liquidity</t>
  </si>
  <si>
    <t xml:space="preserve">Market capitalization</t>
  </si>
  <si>
    <t xml:space="preserve">Enterprise value (EV)</t>
  </si>
  <si>
    <t xml:space="preserve">VALUATION SUMMARY — FAIR VALUE PER SHARE BY METHOD</t>
  </si>
  <si>
    <t xml:space="preserve">Methodology</t>
  </si>
  <si>
    <t xml:space="preserve">Low</t>
  </si>
  <si>
    <t xml:space="preserve">Base</t>
  </si>
  <si>
    <t xml:space="preserve">High</t>
  </si>
  <si>
    <t xml:space="preserve">DCF — Perpetuity growth</t>
  </si>
  <si>
    <t xml:space="preserve">DCF — Exit multiple</t>
  </si>
  <si>
    <t xml:space="preserve">Comparable companies (EV/EBITDA)</t>
  </si>
  <si>
    <t xml:space="preserve">P/E multiple</t>
  </si>
  <si>
    <t xml:space="preserve">Dividend discount model</t>
  </si>
  <si>
    <t xml:space="preserve">Backlog-conversion model</t>
  </si>
  <si>
    <t xml:space="preserve">Scenario-weighted (bull/base/bear)</t>
  </si>
  <si>
    <t xml:space="preserve">Average implied fair value (base)</t>
  </si>
  <si>
    <t xml:space="preserve">Implied upside / (downside) vs. current</t>
  </si>
  <si>
    <t xml:space="preserve">WORKBOOK CONTENTS</t>
  </si>
  <si>
    <t xml:space="preserve">1. Summary — this page; football-field of all methods</t>
  </si>
  <si>
    <t xml:space="preserve">2. Assumptions — central driver sheet (edit blue cells)</t>
  </si>
  <si>
    <t xml:space="preserve">3. DCF — unlevered FCFF, WACC build, perpetuity + exit-multiple terminal value</t>
  </si>
  <si>
    <t xml:space="preserve">4. Reverse DCF — growth implied by the current price</t>
  </si>
  <si>
    <t xml:space="preserve">5. Comps — EV/EBITDA, P/E, EV/Sales, PEG vs. peers</t>
  </si>
  <si>
    <t xml:space="preserve">6. DDM — dividend discount model (Gordon + two-stage)</t>
  </si>
  <si>
    <t xml:space="preserve">7. Backlog — revenue projected off $2.8B backlog burn-down</t>
  </si>
  <si>
    <t xml:space="preserve">8. Scenario — bull / base / bear with probability weighting</t>
  </si>
  <si>
    <t xml:space="preserve">9. Sensitivity — WACC x terminal growth, margin x multiple grids</t>
  </si>
  <si>
    <t xml:space="preserve">DISCLAIMER: Educational/illustrative only. Not investment advice. Figures from Argan SEC filings (FY26 10-K/ARS, Q1 FY27 8-K/10-Q). Blue = inputs you can change.</t>
  </si>
  <si>
    <t xml:space="preserve">CENTRAL ASSUMPTIONS</t>
  </si>
  <si>
    <t xml:space="preserve">Edit blue cells — all model tabs reference this sheet</t>
  </si>
  <si>
    <t xml:space="preserve">ACTUALS — FY2026 (year ended Jan 31, 2026)  $mm</t>
  </si>
  <si>
    <t xml:space="preserve">Revenue</t>
  </si>
  <si>
    <t xml:space="preserve">EBITDA</t>
  </si>
  <si>
    <t xml:space="preserve">Net income</t>
  </si>
  <si>
    <t xml:space="preserve">Depreciation &amp; amortization</t>
  </si>
  <si>
    <t xml:space="preserve">Effective tax rate</t>
  </si>
  <si>
    <t xml:space="preserve">EBITDA margin</t>
  </si>
  <si>
    <t xml:space="preserve">Net margin</t>
  </si>
  <si>
    <t xml:space="preserve">DCF PROJECTION DRIVERS</t>
  </si>
  <si>
    <t xml:space="preserve">Revenue growth — Year 1</t>
  </si>
  <si>
    <t xml:space="preserve">Revenue growth — Year 2</t>
  </si>
  <si>
    <t xml:space="preserve">Revenue growth — Year 3</t>
  </si>
  <si>
    <t xml:space="preserve">Revenue growth — Year 4</t>
  </si>
  <si>
    <t xml:space="preserve">Revenue growth — Year 5</t>
  </si>
  <si>
    <t xml:space="preserve">Target EBITDA margin (steady)</t>
  </si>
  <si>
    <t xml:space="preserve">D&amp;A as % of revenue</t>
  </si>
  <si>
    <t xml:space="preserve">CapEx as % of revenue</t>
  </si>
  <si>
    <t xml:space="preserve">Change in NWC as % of Δrevenue</t>
  </si>
  <si>
    <t xml:space="preserve">WACC BUILD-UP</t>
  </si>
  <si>
    <t xml:space="preserve">Risk-free rate</t>
  </si>
  <si>
    <t xml:space="preserve">Equity risk premium</t>
  </si>
  <si>
    <t xml:space="preserve">Beta</t>
  </si>
  <si>
    <t xml:space="preserve">Cost of equity (CAPM)</t>
  </si>
  <si>
    <t xml:space="preserve">Pre-tax cost of debt</t>
  </si>
  <si>
    <t xml:space="preserve">Tax rate</t>
  </si>
  <si>
    <t xml:space="preserve">After-tax cost of debt</t>
  </si>
  <si>
    <t xml:space="preserve">Equity weight</t>
  </si>
  <si>
    <t xml:space="preserve">Debt weight</t>
  </si>
  <si>
    <t xml:space="preserve">WACC</t>
  </si>
  <si>
    <t xml:space="preserve">TERMINAL VALUE &amp; MARKET</t>
  </si>
  <si>
    <t xml:space="preserve">Perpetuity growth rate</t>
  </si>
  <si>
    <t xml:space="preserve">Exit EV/EBITDA multiple</t>
  </si>
  <si>
    <t xml:space="preserve">Current share price</t>
  </si>
  <si>
    <t xml:space="preserve">Diluted shares (mm)</t>
  </si>
  <si>
    <t xml:space="preserve">Net cash (cash - debt)</t>
  </si>
  <si>
    <t xml:space="preserve">DISCOUNTED CASH FLOW — UNLEVERED FCFF</t>
  </si>
  <si>
    <t xml:space="preserve">5-year explicit forecast · perpetuity-growth &amp; exit-multiple terminal value · $mm</t>
  </si>
  <si>
    <t xml:space="preserve">FREE CASH FLOW PROJECTION</t>
  </si>
  <si>
    <t xml:space="preserve">Fiscal year</t>
  </si>
  <si>
    <t xml:space="preserve">FY27</t>
  </si>
  <si>
    <t xml:space="preserve">FY28</t>
  </si>
  <si>
    <t xml:space="preserve">FY29</t>
  </si>
  <si>
    <t xml:space="preserve">FY30</t>
  </si>
  <si>
    <t xml:space="preserve">FY31</t>
  </si>
  <si>
    <t xml:space="preserve">  Revenue growth %</t>
  </si>
  <si>
    <t xml:space="preserve">Less: D&amp;A</t>
  </si>
  <si>
    <t xml:space="preserve">EBIT</t>
  </si>
  <si>
    <t xml:space="preserve">Less: taxes on EBIT</t>
  </si>
  <si>
    <t xml:space="preserve">NOPAT</t>
  </si>
  <si>
    <t xml:space="preserve">Add: D&amp;A</t>
  </si>
  <si>
    <t xml:space="preserve">Less: CapEx</t>
  </si>
  <si>
    <t xml:space="preserve">Less: Δ net working capital</t>
  </si>
  <si>
    <t xml:space="preserve">Unlevered FCFF</t>
  </si>
  <si>
    <t xml:space="preserve">Discount period</t>
  </si>
  <si>
    <t xml:space="preserve">Discount factor @ WACC</t>
  </si>
  <si>
    <t xml:space="preserve">PV of FCFF</t>
  </si>
  <si>
    <t xml:space="preserve">TERMINAL VALUE &amp; EQUITY VALUE</t>
  </si>
  <si>
    <t xml:space="preserve">Sum of PV of explicit FCFF</t>
  </si>
  <si>
    <t xml:space="preserve">Terminal FCFF (Year 5 × (1+g))</t>
  </si>
  <si>
    <t xml:space="preserve">Terminal value (Gordon growth)</t>
  </si>
  <si>
    <t xml:space="preserve">PV of terminal value</t>
  </si>
  <si>
    <t xml:space="preserve">Enterprise value</t>
  </si>
  <si>
    <t xml:space="preserve">Add: net cash</t>
  </si>
  <si>
    <t xml:space="preserve">Equity value</t>
  </si>
  <si>
    <t xml:space="preserve">Fair value / share — perpetuity</t>
  </si>
  <si>
    <t xml:space="preserve">ALTERNATIVE TERMINAL VALUE — EXIT EV/EBITDA</t>
  </si>
  <si>
    <t xml:space="preserve">Terminal EBITDA (Year 5)</t>
  </si>
  <si>
    <t xml:space="preserve">Terminal value (exit multiple)</t>
  </si>
  <si>
    <t xml:space="preserve">Enterprise value (exit)</t>
  </si>
  <si>
    <t xml:space="preserve">Equity value (exit)</t>
  </si>
  <si>
    <t xml:space="preserve">Fair value / share — exit multiple</t>
  </si>
  <si>
    <t xml:space="preserve">REVERSE DCF — WHAT THE PRICE IMPLIES</t>
  </si>
  <si>
    <t xml:space="preserve">Solve for the FCFF growth the market is currently paying for · $mm</t>
  </si>
  <si>
    <t xml:space="preserve">IMPLIED EXPECTATIONS</t>
  </si>
  <si>
    <t xml:space="preserve">Current market cap</t>
  </si>
  <si>
    <t xml:space="preserve">Less: net cash</t>
  </si>
  <si>
    <t xml:space="preserve">Implied enterprise value</t>
  </si>
  <si>
    <t xml:space="preserve">SOLVE: CONSTANT FCFF GROWTH IMPLIED BY EV</t>
  </si>
  <si>
    <t xml:space="preserve">Base-year FCFF (FY26 proxy)</t>
  </si>
  <si>
    <t xml:space="preserve">Implied perpetual FCFF growth (g)</t>
  </si>
  <si>
    <t xml:space="preserve">Interpretation:</t>
  </si>
  <si>
    <t xml:space="preserve">The current price implies the market expects FCFF to grow at roughly the rate above in perpetuity. Compare to the DCF base growth assumptions — if the implied rate exceeds what the backlog can plausibly support, the stock has run ahead of fundamentals.</t>
  </si>
  <si>
    <t xml:space="preserve">COMPARABLE COMPANY ANALYSIS</t>
  </si>
  <si>
    <t xml:space="preserve">Illustrative peer multiples — E&amp;C / power-infrastructure · update peer figures as needed</t>
  </si>
  <si>
    <t xml:space="preserve">PEER MULTIPLES  (illustrative — verify before use)</t>
  </si>
  <si>
    <t xml:space="preserve">Company</t>
  </si>
  <si>
    <t xml:space="preserve">EV/EBITDA</t>
  </si>
  <si>
    <t xml:space="preserve">P/E (fwd)</t>
  </si>
  <si>
    <t xml:space="preserve">EV/Sales</t>
  </si>
  <si>
    <t xml:space="preserve">Rev growth</t>
  </si>
  <si>
    <t xml:space="preserve">PEG</t>
  </si>
  <si>
    <t xml:space="preserve">Quanta Services (PWR)</t>
  </si>
  <si>
    <t xml:space="preserve">MasTec (MTZ)</t>
  </si>
  <si>
    <t xml:space="preserve">Fluor (FLR)</t>
  </si>
  <si>
    <t xml:space="preserve">EMCOR Group (EME)</t>
  </si>
  <si>
    <t xml:space="preserve">Primoris (PRIM)</t>
  </si>
  <si>
    <t xml:space="preserve">Median</t>
  </si>
  <si>
    <t xml:space="preserve">Mean</t>
  </si>
  <si>
    <t xml:space="preserve">Min</t>
  </si>
  <si>
    <t xml:space="preserve">Max</t>
  </si>
  <si>
    <t xml:space="preserve">AGX IMPLIED VALUATION — EV/EBITDA</t>
  </si>
  <si>
    <t xml:space="preserve">AGX FY26 EBITDA</t>
  </si>
  <si>
    <t xml:space="preserve">Discount for size/concentration</t>
  </si>
  <si>
    <t xml:space="preserve">Scenario</t>
  </si>
  <si>
    <t xml:space="preserve">Low (min)</t>
  </si>
  <si>
    <t xml:space="preserve">Base (median×disc)</t>
  </si>
  <si>
    <t xml:space="preserve">High (max)</t>
  </si>
  <si>
    <t xml:space="preserve">Implied EV</t>
  </si>
  <si>
    <t xml:space="preserve">Implied fair value / share</t>
  </si>
  <si>
    <t xml:space="preserve">AGX IMPLIED VALUATION — P/E</t>
  </si>
  <si>
    <t xml:space="preserve">AGX FY26 diluted EPS</t>
  </si>
  <si>
    <t xml:space="preserve">Base (median)</t>
  </si>
  <si>
    <t xml:space="preserve">DIVIDEND DISCOUNT MODEL</t>
  </si>
  <si>
    <t xml:space="preserve">Gordon growth + two-stage · AGX pays $2.00/yr and is raising it</t>
  </si>
  <si>
    <t xml:space="preserve">INPUTS</t>
  </si>
  <si>
    <t xml:space="preserve">Current annual dividend / share</t>
  </si>
  <si>
    <t xml:space="preserve">Cost of equity (Ke)</t>
  </si>
  <si>
    <t xml:space="preserve">Stage 1 dividend growth (yrs 1-5)</t>
  </si>
  <si>
    <t xml:space="preserve">Terminal dividend growth</t>
  </si>
  <si>
    <t xml:space="preserve">GORDON GROWTH (single-stage)</t>
  </si>
  <si>
    <t xml:space="preserve">Value = D1 / (Ke - g)</t>
  </si>
  <si>
    <t xml:space="preserve">TWO-STAGE DDM</t>
  </si>
  <si>
    <t xml:space="preserve">Year</t>
  </si>
  <si>
    <t xml:space="preserve">Projected dividend</t>
  </si>
  <si>
    <t xml:space="preserve">PV of dividend</t>
  </si>
  <si>
    <t xml:space="preserve">Terminal value (end yr 5)</t>
  </si>
  <si>
    <t xml:space="preserve">Two-stage DDM value / share</t>
  </si>
  <si>
    <t xml:space="preserve">Note: A DDM understates value for a company retaining cash for buybacks &amp; growth (AGX has a $200mm buyback). Treat as a floor, not a fair value.</t>
  </si>
  <si>
    <t xml:space="preserve">→ Gordon (low)</t>
  </si>
  <si>
    <t xml:space="preserve">→ Two-stage (base)</t>
  </si>
  <si>
    <t xml:space="preserve">→ High</t>
  </si>
  <si>
    <t xml:space="preserve">BACKLOG-CONVERSION MODEL</t>
  </si>
  <si>
    <t xml:space="preserve">Project revenue off the $2.8B backlog burn-down + new awards · the AGX-specific lens · $mm</t>
  </si>
  <si>
    <t xml:space="preserve">Current backlog</t>
  </si>
  <si>
    <t xml:space="preserve">Annual backlog burn rate</t>
  </si>
  <si>
    <t xml:space="preserve">Annual new bookings (book-to-bill)</t>
  </si>
  <si>
    <t xml:space="preserve">EBITDA margin on backlog revenue</t>
  </si>
  <si>
    <t xml:space="preserve">EV/EBITDA applied to Year-3 run-rate</t>
  </si>
  <si>
    <t xml:space="preserve">BACKLOG ROLL-FORWARD</t>
  </si>
  <si>
    <t xml:space="preserve">Opening backlog</t>
  </si>
  <si>
    <t xml:space="preserve">Revenue recognized (burn)</t>
  </si>
  <si>
    <t xml:space="preserve">New bookings</t>
  </si>
  <si>
    <t xml:space="preserve">EBITDA on revenue</t>
  </si>
  <si>
    <t xml:space="preserve">Closing backlog</t>
  </si>
  <si>
    <t xml:space="preserve">IMPLIED VALUATION FROM YEAR-3 RUN-RATE</t>
  </si>
  <si>
    <t xml:space="preserve">Year-3 EBITDA</t>
  </si>
  <si>
    <t xml:space="preserve">Implied EV (× multiple)</t>
  </si>
  <si>
    <t xml:space="preserve">Implied equity value</t>
  </si>
  <si>
    <t xml:space="preserve">SCENARIO ANALYSIS — BULL / BASE / BEAR</t>
  </si>
  <si>
    <t xml:space="preserve">Probability-weighted fair value across outcomes</t>
  </si>
  <si>
    <t xml:space="preserve">SCENARIO ASSUMPTIONS</t>
  </si>
  <si>
    <t xml:space="preserve">Driver</t>
  </si>
  <si>
    <t xml:space="preserve">Bear</t>
  </si>
  <si>
    <t xml:space="preserve">Bull</t>
  </si>
  <si>
    <t xml:space="preserve">Source/notes</t>
  </si>
  <si>
    <t xml:space="preserve">FY27 revenue growth</t>
  </si>
  <si>
    <t xml:space="preserve">Steady EBITDA margin</t>
  </si>
  <si>
    <t xml:space="preserve">Exit EV/EBITDA</t>
  </si>
  <si>
    <t xml:space="preserve">Terminal growth</t>
  </si>
  <si>
    <t xml:space="preserve">IMPLIED FAIR VALUE &amp; WEIGHTING</t>
  </si>
  <si>
    <t xml:space="preserve">Implied 3-yr fwd EBITDA</t>
  </si>
  <si>
    <t xml:space="preserve">Probability weight</t>
  </si>
  <si>
    <t xml:space="preserve">Weighted fair value / share</t>
  </si>
  <si>
    <t xml:space="preserve">Implied upside vs. current</t>
  </si>
  <si>
    <t xml:space="preserve">→ weighted FV</t>
  </si>
  <si>
    <t xml:space="preserve">SENSITIVITY ANALYSIS</t>
  </si>
  <si>
    <t xml:space="preserve">DCF fair value across WACC × terminal growth · static illustrative grid</t>
  </si>
  <si>
    <t xml:space="preserve">WACC (rows) × TERMINAL GROWTH (cols) — implied FV/share</t>
  </si>
  <si>
    <t xml:space="preserve">Base FCFF (FY26 proxy)</t>
  </si>
  <si>
    <t xml:space="preserve">Near-term growth (5y, blended)</t>
  </si>
  <si>
    <t xml:space="preserve">WACC \ g</t>
  </si>
  <si>
    <t xml:space="preserve">Amber cell = base case (WACC 9.5%, g 3.0%). Grid uses a blended 5-yr growth proxy; the DCF tab holds the full year-by-year model.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</si>
</sst>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\$#,##0.00;&quot;($&quot;#,##0.00\);\-"/>
    <numFmt numFmtId="166" formatCode="#,##0.0;\(#,##0.0\);\-"/>
    <numFmt numFmtId="167" formatCode="\$#,##0;&quot;($&quot;#,##0\);\-"/>
    <numFmt numFmtId="168" formatCode="0.0%;\(0.0%\);\-"/>
    <numFmt numFmtId="169" formatCode="0.0\x"/>
    <numFmt numFmtId="170" formatCode="#,##0;\(#,##0\);\-"/>
    <numFmt numFmtId="171" formatCode="#,##0.0;\(#,##0.0\);&quot;-x&quot;"/>
  </numFmts>
  <fonts count="2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FFFFFF"/>
      <name val="Arial"/>
      <family val="0"/>
      <charset val="1"/>
    </font>
    <font>
      <i val="true"/>
      <sz val="9"/>
      <color rgb="FF5D7385"/>
      <name val="Arial"/>
      <family val="0"/>
      <charset val="1"/>
    </font>
    <font>
      <b val="true"/>
      <sz val="10"/>
      <color rgb="FF0F2A43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b val="true"/>
      <sz val="10"/>
      <color rgb="FFE07B00"/>
      <name val="Arial"/>
      <family val="0"/>
      <charset val="1"/>
    </font>
    <font>
      <sz val="9"/>
      <color rgb="FF000000"/>
      <name val="Arial"/>
      <family val="0"/>
      <charset val="1"/>
    </font>
    <font>
      <i val="true"/>
      <sz val="8"/>
      <color rgb="FF5D7385"/>
      <name val="Arial"/>
      <family val="0"/>
      <charset val="1"/>
    </font>
    <font>
      <sz val="10"/>
      <name val="Arial"/>
      <family val="2"/>
    </font>
    <font>
      <i val="true"/>
      <sz val="9"/>
      <color rgb="FF000000"/>
      <name val="Arial"/>
      <family val="0"/>
      <charset val="1"/>
    </font>
    <font>
      <i val="true"/>
      <sz val="10"/>
      <color rgb="FF5D7385"/>
      <name val="Arial"/>
      <family val="0"/>
      <charset val="1"/>
    </font>
    <font>
      <b val="true"/>
      <sz val="9"/>
      <color rgb="FF000000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1"/>
      <color rgb="FFE07B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0F2A43"/>
        <bgColor rgb="FF333333"/>
      </patternFill>
    </fill>
    <fill>
      <patternFill patternType="solid">
        <fgColor rgb="FFF2F4F6"/>
        <bgColor rgb="FFFFFFFF"/>
      </patternFill>
    </fill>
    <fill>
      <patternFill patternType="solid">
        <fgColor rgb="FFE07B00"/>
        <bgColor rgb="FFFF9900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BFC7CE"/>
      </bottom>
      <diagonal/>
    </border>
    <border diagonalUp="false" diagonalDown="false">
      <left/>
      <right/>
      <top/>
      <bottom style="medium">
        <color rgb="FF0F2A43"/>
      </bottom>
      <diagonal/>
    </border>
    <border diagonalUp="false" diagonalDown="false">
      <left/>
      <right style="thin">
        <color rgb="FFBFC7CE"/>
      </right>
      <top/>
      <bottom style="thin">
        <color rgb="FFBFC7CE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2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1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1" fontId="1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3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0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1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8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C7CE"/>
      <rgbColor rgb="FF808080"/>
      <rgbColor rgb="FF9999FF"/>
      <rgbColor rgb="FF993366"/>
      <rgbColor rgb="FFF2F4F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07B00"/>
      <rgbColor rgb="FF5D7385"/>
      <rgbColor rgb="FF969696"/>
      <rgbColor rgb="FF0F2A43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5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6" min="2" style="0" width="16"/>
    <col collapsed="false" customWidth="true" hidden="false" outlineLevel="0" max="8" min="7" style="0" width="14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2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" t="s">
        <v>3</v>
      </c>
      <c r="B5" s="5" t="n">
        <v>720</v>
      </c>
    </row>
    <row r="6" customFormat="false" ht="15" hidden="false" customHeight="false" outlineLevel="0" collapsed="false">
      <c r="A6" s="4" t="s">
        <v>4</v>
      </c>
      <c r="B6" s="6" t="n">
        <v>14.2</v>
      </c>
    </row>
    <row r="7" customFormat="false" ht="15" hidden="false" customHeight="false" outlineLevel="0" collapsed="false">
      <c r="A7" s="4" t="s">
        <v>5</v>
      </c>
      <c r="B7" s="7" t="n">
        <v>0</v>
      </c>
    </row>
    <row r="8" customFormat="false" ht="15" hidden="false" customHeight="false" outlineLevel="0" collapsed="false">
      <c r="A8" s="4" t="s">
        <v>6</v>
      </c>
      <c r="B8" s="7" t="n">
        <v>421</v>
      </c>
    </row>
    <row r="9" customFormat="false" ht="15" hidden="false" customHeight="false" outlineLevel="0" collapsed="false">
      <c r="A9" s="8" t="s">
        <v>7</v>
      </c>
      <c r="B9" s="9" t="n">
        <f aca="false">B5*B6</f>
        <v>10224</v>
      </c>
    </row>
    <row r="10" customFormat="false" ht="15" hidden="false" customHeight="false" outlineLevel="0" collapsed="false">
      <c r="A10" s="8" t="s">
        <v>8</v>
      </c>
      <c r="B10" s="9" t="n">
        <f aca="false">B9+B7-B8</f>
        <v>9803</v>
      </c>
    </row>
    <row r="12" customFormat="false" ht="18" hidden="false" customHeight="true" outlineLevel="0" collapsed="false">
      <c r="A12" s="3" t="s">
        <v>9</v>
      </c>
      <c r="B12" s="3"/>
      <c r="C12" s="3"/>
      <c r="D12" s="3"/>
      <c r="E12" s="3"/>
      <c r="F12" s="3"/>
      <c r="G12" s="3"/>
      <c r="H12" s="3"/>
    </row>
    <row r="13" customFormat="false" ht="15" hidden="false" customHeight="false" outlineLevel="0" collapsed="false">
      <c r="A13" s="10" t="s">
        <v>10</v>
      </c>
      <c r="B13" s="11" t="s">
        <v>11</v>
      </c>
      <c r="C13" s="11" t="s">
        <v>12</v>
      </c>
      <c r="D13" s="11" t="s">
        <v>13</v>
      </c>
    </row>
    <row r="14" customFormat="false" ht="15" hidden="false" customHeight="false" outlineLevel="0" collapsed="false">
      <c r="A14" s="4" t="s">
        <v>14</v>
      </c>
      <c r="B14" s="12" t="n">
        <f aca="false">DCF!B29</f>
        <v>191.951646802538</v>
      </c>
      <c r="C14" s="13" t="n">
        <f aca="false">DCF!C29</f>
        <v>225.061726463828</v>
      </c>
      <c r="D14" s="12" t="n">
        <f aca="false">DCF!D29</f>
        <v>284.397611797426</v>
      </c>
    </row>
    <row r="15" customFormat="false" ht="15" hidden="false" customHeight="false" outlineLevel="0" collapsed="false">
      <c r="A15" s="4" t="s">
        <v>15</v>
      </c>
      <c r="B15" s="12" t="n">
        <f aca="false">DCF!B38</f>
        <v>230.986294790086</v>
      </c>
      <c r="C15" s="13" t="n">
        <f aca="false">DCF!C38</f>
        <v>256.117946231985</v>
      </c>
      <c r="D15" s="12" t="n">
        <f aca="false">DCF!D38</f>
        <v>281.249597673885</v>
      </c>
    </row>
    <row r="16" customFormat="false" ht="15" hidden="false" customHeight="false" outlineLevel="0" collapsed="false">
      <c r="A16" s="4" t="s">
        <v>16</v>
      </c>
      <c r="B16" s="12" t="n">
        <f aca="false">Comps!H18</f>
        <v>132.830985915493</v>
      </c>
      <c r="C16" s="13" t="n">
        <f aca="false">Comps!H19</f>
        <v>146.588732394366</v>
      </c>
      <c r="D16" s="12" t="n">
        <f aca="false">Comps!H20</f>
        <v>236.014084507042</v>
      </c>
    </row>
    <row r="17" customFormat="false" ht="15" hidden="false" customHeight="false" outlineLevel="0" collapsed="false">
      <c r="A17" s="4" t="s">
        <v>17</v>
      </c>
      <c r="B17" s="12" t="n">
        <f aca="false">Comps!H26</f>
        <v>155.238309859155</v>
      </c>
      <c r="C17" s="13" t="n">
        <f aca="false">Comps!H27</f>
        <v>203.750281690141</v>
      </c>
      <c r="D17" s="12" t="n">
        <f aca="false">Comps!H28</f>
        <v>291.071830985916</v>
      </c>
    </row>
    <row r="18" customFormat="false" ht="15" hidden="false" customHeight="false" outlineLevel="0" collapsed="false">
      <c r="A18" s="4" t="s">
        <v>18</v>
      </c>
      <c r="B18" s="12" t="n">
        <f aca="false">DDM!B23</f>
        <v>34.3801652892562</v>
      </c>
      <c r="C18" s="13" t="n">
        <f aca="false">DDM!B24</f>
        <v>48.0802904002149</v>
      </c>
      <c r="D18" s="12" t="n">
        <f aca="false">DDM!B25</f>
        <v>48.0802904002149</v>
      </c>
    </row>
    <row r="19" customFormat="false" ht="15" hidden="false" customHeight="false" outlineLevel="0" collapsed="false">
      <c r="A19" s="4" t="s">
        <v>19</v>
      </c>
      <c r="B19" s="12" t="n">
        <f aca="false">Backlog!B30</f>
        <v>213.915966197183</v>
      </c>
      <c r="C19" s="13" t="n">
        <f aca="false">Backlog!C30</f>
        <v>244.627312676056</v>
      </c>
      <c r="D19" s="12" t="n">
        <f aca="false">Backlog!D30</f>
        <v>275.33865915493</v>
      </c>
    </row>
    <row r="20" customFormat="false" ht="15" hidden="false" customHeight="false" outlineLevel="0" collapsed="false">
      <c r="A20" s="4" t="s">
        <v>20</v>
      </c>
      <c r="B20" s="12" t="n">
        <f aca="false">Scenario!F22</f>
        <v>325.387214661409</v>
      </c>
      <c r="C20" s="13" t="n">
        <f aca="false">Scenario!F22</f>
        <v>325.387214661409</v>
      </c>
      <c r="D20" s="12" t="n">
        <f aca="false">Scenario!F22</f>
        <v>325.387214661409</v>
      </c>
    </row>
    <row r="21" customFormat="false" ht="15" hidden="false" customHeight="false" outlineLevel="0" collapsed="false">
      <c r="A21" s="14" t="s">
        <v>21</v>
      </c>
      <c r="B21" s="15"/>
      <c r="C21" s="16" t="n">
        <f aca="false">AVERAGE(C14:C20)</f>
        <v>207.087643502571</v>
      </c>
      <c r="D21" s="15"/>
    </row>
    <row r="22" customFormat="false" ht="15" hidden="false" customHeight="false" outlineLevel="0" collapsed="false">
      <c r="A22" s="8" t="s">
        <v>22</v>
      </c>
      <c r="C22" s="17" t="n">
        <f aca="false">C21/B5-1</f>
        <v>-0.712378272913095</v>
      </c>
    </row>
    <row r="24" customFormat="false" ht="18" hidden="false" customHeight="true" outlineLevel="0" collapsed="false">
      <c r="A24" s="3" t="s">
        <v>23</v>
      </c>
      <c r="B24" s="3"/>
      <c r="C24" s="3"/>
      <c r="D24" s="3"/>
      <c r="E24" s="3"/>
      <c r="F24" s="3"/>
      <c r="G24" s="3"/>
      <c r="H24" s="3"/>
    </row>
    <row r="25" customFormat="false" ht="15" hidden="false" customHeight="false" outlineLevel="0" collapsed="false">
      <c r="A25" s="18" t="s">
        <v>24</v>
      </c>
      <c r="B25" s="18"/>
      <c r="C25" s="18"/>
      <c r="D25" s="18"/>
      <c r="E25" s="18"/>
      <c r="F25" s="18"/>
      <c r="G25" s="18"/>
      <c r="H25" s="18"/>
    </row>
    <row r="26" customFormat="false" ht="15" hidden="false" customHeight="false" outlineLevel="0" collapsed="false">
      <c r="A26" s="18" t="s">
        <v>25</v>
      </c>
      <c r="B26" s="18"/>
      <c r="C26" s="18"/>
      <c r="D26" s="18"/>
      <c r="E26" s="18"/>
      <c r="F26" s="18"/>
      <c r="G26" s="18"/>
      <c r="H26" s="18"/>
    </row>
    <row r="27" customFormat="false" ht="15" hidden="false" customHeight="false" outlineLevel="0" collapsed="false">
      <c r="A27" s="18" t="s">
        <v>26</v>
      </c>
      <c r="B27" s="18"/>
      <c r="C27" s="18"/>
      <c r="D27" s="18"/>
      <c r="E27" s="18"/>
      <c r="F27" s="18"/>
      <c r="G27" s="18"/>
      <c r="H27" s="18"/>
    </row>
    <row r="28" customFormat="false" ht="15" hidden="false" customHeight="false" outlineLevel="0" collapsed="false">
      <c r="A28" s="18" t="s">
        <v>27</v>
      </c>
      <c r="B28" s="18"/>
      <c r="C28" s="18"/>
      <c r="D28" s="18"/>
      <c r="E28" s="18"/>
      <c r="F28" s="18"/>
      <c r="G28" s="18"/>
      <c r="H28" s="18"/>
    </row>
    <row r="29" customFormat="false" ht="15" hidden="false" customHeight="false" outlineLevel="0" collapsed="false">
      <c r="A29" s="18" t="s">
        <v>28</v>
      </c>
      <c r="B29" s="18"/>
      <c r="C29" s="18"/>
      <c r="D29" s="18"/>
      <c r="E29" s="18"/>
      <c r="F29" s="18"/>
      <c r="G29" s="18"/>
      <c r="H29" s="18"/>
    </row>
    <row r="30" customFormat="false" ht="15" hidden="false" customHeight="false" outlineLevel="0" collapsed="false">
      <c r="A30" s="18" t="s">
        <v>29</v>
      </c>
      <c r="B30" s="18"/>
      <c r="C30" s="18"/>
      <c r="D30" s="18"/>
      <c r="E30" s="18"/>
      <c r="F30" s="18"/>
      <c r="G30" s="18"/>
      <c r="H30" s="18"/>
    </row>
    <row r="31" customFormat="false" ht="15" hidden="false" customHeight="false" outlineLevel="0" collapsed="false">
      <c r="A31" s="18" t="s">
        <v>30</v>
      </c>
      <c r="B31" s="18"/>
      <c r="C31" s="18"/>
      <c r="D31" s="18"/>
      <c r="E31" s="18"/>
      <c r="F31" s="18"/>
      <c r="G31" s="18"/>
      <c r="H31" s="18"/>
    </row>
    <row r="32" customFormat="false" ht="15" hidden="false" customHeight="false" outlineLevel="0" collapsed="false">
      <c r="A32" s="18" t="s">
        <v>31</v>
      </c>
      <c r="B32" s="18"/>
      <c r="C32" s="18"/>
      <c r="D32" s="18"/>
      <c r="E32" s="18"/>
      <c r="F32" s="18"/>
      <c r="G32" s="18"/>
      <c r="H32" s="18"/>
    </row>
    <row r="33" customFormat="false" ht="15" hidden="false" customHeight="false" outlineLevel="0" collapsed="false">
      <c r="A33" s="18" t="s">
        <v>32</v>
      </c>
      <c r="B33" s="18"/>
      <c r="C33" s="18"/>
      <c r="D33" s="18"/>
      <c r="E33" s="18"/>
      <c r="F33" s="18"/>
      <c r="G33" s="18"/>
      <c r="H33" s="18"/>
    </row>
    <row r="35" customFormat="false" ht="27.75" hidden="false" customHeight="true" outlineLevel="0" collapsed="false">
      <c r="A35" s="19" t="s">
        <v>33</v>
      </c>
      <c r="B35" s="19"/>
      <c r="C35" s="19"/>
      <c r="D35" s="19"/>
      <c r="E35" s="19"/>
      <c r="F35" s="19"/>
      <c r="G35" s="19"/>
      <c r="H35" s="19"/>
    </row>
  </sheetData>
  <mergeCells count="15">
    <mergeCell ref="A1:H1"/>
    <mergeCell ref="A2:H2"/>
    <mergeCell ref="A4:H4"/>
    <mergeCell ref="A12:H12"/>
    <mergeCell ref="A24:H24"/>
    <mergeCell ref="A25:H25"/>
    <mergeCell ref="A26:H26"/>
    <mergeCell ref="A27:H27"/>
    <mergeCell ref="A28:H28"/>
    <mergeCell ref="A29:H29"/>
    <mergeCell ref="A30:H30"/>
    <mergeCell ref="A31:H31"/>
    <mergeCell ref="A32:H32"/>
    <mergeCell ref="A33:H33"/>
    <mergeCell ref="A35:H3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6" min="2" style="0" width="15"/>
    <col collapsed="false" customWidth="true" hidden="false" outlineLevel="0" max="8" min="7" style="0" width="14"/>
  </cols>
  <sheetData>
    <row r="1" customFormat="false" ht="25.5" hidden="false" customHeight="true" outlineLevel="0" collapsed="false">
      <c r="A1" s="1" t="s">
        <v>34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35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36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" t="s">
        <v>37</v>
      </c>
      <c r="B5" s="7" t="n">
        <v>944.6</v>
      </c>
    </row>
    <row r="6" customFormat="false" ht="15" hidden="false" customHeight="false" outlineLevel="0" collapsed="false">
      <c r="A6" s="4" t="s">
        <v>38</v>
      </c>
      <c r="B6" s="7" t="n">
        <v>162.8</v>
      </c>
    </row>
    <row r="7" customFormat="false" ht="15" hidden="false" customHeight="false" outlineLevel="0" collapsed="false">
      <c r="A7" s="4" t="s">
        <v>39</v>
      </c>
      <c r="B7" s="7" t="n">
        <v>137.8</v>
      </c>
    </row>
    <row r="8" customFormat="false" ht="15" hidden="false" customHeight="false" outlineLevel="0" collapsed="false">
      <c r="A8" s="4" t="s">
        <v>40</v>
      </c>
      <c r="B8" s="7" t="n">
        <v>2.3</v>
      </c>
    </row>
    <row r="9" customFormat="false" ht="15" hidden="false" customHeight="false" outlineLevel="0" collapsed="false">
      <c r="A9" s="4" t="s">
        <v>41</v>
      </c>
      <c r="B9" s="20" t="n">
        <v>0.142</v>
      </c>
    </row>
    <row r="10" customFormat="false" ht="15" hidden="false" customHeight="false" outlineLevel="0" collapsed="false">
      <c r="A10" s="4" t="s">
        <v>42</v>
      </c>
      <c r="B10" s="21" t="n">
        <f aca="false">B6/B5</f>
        <v>0.172348083845014</v>
      </c>
    </row>
    <row r="11" customFormat="false" ht="15" hidden="false" customHeight="false" outlineLevel="0" collapsed="false">
      <c r="A11" s="4" t="s">
        <v>43</v>
      </c>
      <c r="B11" s="21" t="n">
        <f aca="false">B7/B5</f>
        <v>0.145881854753335</v>
      </c>
    </row>
    <row r="13" customFormat="false" ht="18" hidden="false" customHeight="true" outlineLevel="0" collapsed="false">
      <c r="A13" s="3" t="s">
        <v>44</v>
      </c>
      <c r="B13" s="3"/>
      <c r="C13" s="3"/>
      <c r="D13" s="3"/>
      <c r="E13" s="3"/>
      <c r="F13" s="3"/>
      <c r="G13" s="3"/>
      <c r="H13" s="3"/>
    </row>
    <row r="14" customFormat="false" ht="15" hidden="false" customHeight="false" outlineLevel="0" collapsed="false">
      <c r="A14" s="4" t="s">
        <v>45</v>
      </c>
      <c r="B14" s="20" t="n">
        <v>0.18</v>
      </c>
    </row>
    <row r="15" customFormat="false" ht="15" hidden="false" customHeight="false" outlineLevel="0" collapsed="false">
      <c r="A15" s="4" t="s">
        <v>46</v>
      </c>
      <c r="B15" s="20" t="n">
        <v>0.14</v>
      </c>
    </row>
    <row r="16" customFormat="false" ht="15" hidden="false" customHeight="false" outlineLevel="0" collapsed="false">
      <c r="A16" s="4" t="s">
        <v>47</v>
      </c>
      <c r="B16" s="20" t="n">
        <v>0.1</v>
      </c>
    </row>
    <row r="17" customFormat="false" ht="15" hidden="false" customHeight="false" outlineLevel="0" collapsed="false">
      <c r="A17" s="4" t="s">
        <v>48</v>
      </c>
      <c r="B17" s="20" t="n">
        <v>0.08</v>
      </c>
    </row>
    <row r="18" customFormat="false" ht="15" hidden="false" customHeight="false" outlineLevel="0" collapsed="false">
      <c r="A18" s="4" t="s">
        <v>49</v>
      </c>
      <c r="B18" s="20" t="n">
        <v>0.06</v>
      </c>
    </row>
    <row r="19" customFormat="false" ht="15" hidden="false" customHeight="false" outlineLevel="0" collapsed="false">
      <c r="A19" s="4" t="s">
        <v>50</v>
      </c>
      <c r="B19" s="20" t="n">
        <v>0.18</v>
      </c>
    </row>
    <row r="20" customFormat="false" ht="15" hidden="false" customHeight="false" outlineLevel="0" collapsed="false">
      <c r="A20" s="4" t="s">
        <v>51</v>
      </c>
      <c r="B20" s="20" t="n">
        <v>0.003</v>
      </c>
    </row>
    <row r="21" customFormat="false" ht="15" hidden="false" customHeight="false" outlineLevel="0" collapsed="false">
      <c r="A21" s="4" t="s">
        <v>52</v>
      </c>
      <c r="B21" s="20" t="n">
        <v>0.01</v>
      </c>
    </row>
    <row r="22" customFormat="false" ht="15" hidden="false" customHeight="false" outlineLevel="0" collapsed="false">
      <c r="A22" s="4" t="s">
        <v>53</v>
      </c>
      <c r="B22" s="20" t="n">
        <v>0.05</v>
      </c>
    </row>
    <row r="24" customFormat="false" ht="18" hidden="false" customHeight="true" outlineLevel="0" collapsed="false">
      <c r="A24" s="3" t="s">
        <v>54</v>
      </c>
      <c r="B24" s="3"/>
      <c r="C24" s="3"/>
      <c r="D24" s="3"/>
      <c r="E24" s="3"/>
      <c r="F24" s="3"/>
      <c r="G24" s="3"/>
      <c r="H24" s="3"/>
    </row>
    <row r="25" customFormat="false" ht="15" hidden="false" customHeight="false" outlineLevel="0" collapsed="false">
      <c r="A25" s="4" t="s">
        <v>55</v>
      </c>
      <c r="B25" s="20" t="n">
        <v>0.043</v>
      </c>
    </row>
    <row r="26" customFormat="false" ht="15" hidden="false" customHeight="false" outlineLevel="0" collapsed="false">
      <c r="A26" s="4" t="s">
        <v>56</v>
      </c>
      <c r="B26" s="20" t="n">
        <v>0.05</v>
      </c>
    </row>
    <row r="27" customFormat="false" ht="15" hidden="false" customHeight="false" outlineLevel="0" collapsed="false">
      <c r="A27" s="4" t="s">
        <v>57</v>
      </c>
      <c r="B27" s="6" t="n">
        <v>1.15</v>
      </c>
    </row>
    <row r="28" customFormat="false" ht="15" hidden="false" customHeight="false" outlineLevel="0" collapsed="false">
      <c r="A28" s="4" t="s">
        <v>58</v>
      </c>
      <c r="B28" s="21" t="n">
        <f aca="false">B25+B27*B26</f>
        <v>0.1005</v>
      </c>
    </row>
    <row r="29" customFormat="false" ht="15" hidden="false" customHeight="false" outlineLevel="0" collapsed="false">
      <c r="A29" s="4" t="s">
        <v>59</v>
      </c>
      <c r="B29" s="20" t="n">
        <v>0.06</v>
      </c>
    </row>
    <row r="30" customFormat="false" ht="15" hidden="false" customHeight="false" outlineLevel="0" collapsed="false">
      <c r="A30" s="4" t="s">
        <v>60</v>
      </c>
      <c r="B30" s="21" t="n">
        <f aca="false">B10</f>
        <v>0.172348083845014</v>
      </c>
    </row>
    <row r="31" customFormat="false" ht="15" hidden="false" customHeight="false" outlineLevel="0" collapsed="false">
      <c r="A31" s="4" t="s">
        <v>61</v>
      </c>
      <c r="B31" s="21" t="n">
        <f aca="false">B29*(1-B30)</f>
        <v>0.0496591149692992</v>
      </c>
    </row>
    <row r="32" customFormat="false" ht="15" hidden="false" customHeight="false" outlineLevel="0" collapsed="false">
      <c r="A32" s="4" t="s">
        <v>62</v>
      </c>
      <c r="B32" s="20" t="n">
        <v>1</v>
      </c>
    </row>
    <row r="33" customFormat="false" ht="15" hidden="false" customHeight="false" outlineLevel="0" collapsed="false">
      <c r="A33" s="4" t="s">
        <v>63</v>
      </c>
      <c r="B33" s="20" t="n">
        <v>0</v>
      </c>
    </row>
    <row r="34" customFormat="false" ht="15" hidden="false" customHeight="false" outlineLevel="0" collapsed="false">
      <c r="A34" s="8" t="s">
        <v>64</v>
      </c>
      <c r="B34" s="17" t="n">
        <f aca="false">B32*B28+B33*B31</f>
        <v>0.1005</v>
      </c>
    </row>
    <row r="36" customFormat="false" ht="18" hidden="false" customHeight="true" outlineLevel="0" collapsed="false">
      <c r="A36" s="3" t="s">
        <v>65</v>
      </c>
      <c r="B36" s="3"/>
      <c r="C36" s="3"/>
      <c r="D36" s="3"/>
      <c r="E36" s="3"/>
      <c r="F36" s="3"/>
      <c r="G36" s="3"/>
      <c r="H36" s="3"/>
    </row>
    <row r="37" customFormat="false" ht="15" hidden="false" customHeight="false" outlineLevel="0" collapsed="false">
      <c r="A37" s="4" t="s">
        <v>66</v>
      </c>
      <c r="B37" s="20" t="n">
        <v>0.03</v>
      </c>
    </row>
    <row r="38" customFormat="false" ht="15" hidden="false" customHeight="false" outlineLevel="0" collapsed="false">
      <c r="A38" s="4" t="s">
        <v>67</v>
      </c>
      <c r="B38" s="22" t="n">
        <v>14</v>
      </c>
    </row>
    <row r="39" customFormat="false" ht="15" hidden="false" customHeight="false" outlineLevel="0" collapsed="false">
      <c r="A39" s="4" t="s">
        <v>68</v>
      </c>
      <c r="B39" s="12" t="n">
        <f aca="false">Summary!B5</f>
        <v>720</v>
      </c>
    </row>
    <row r="40" customFormat="false" ht="15" hidden="false" customHeight="false" outlineLevel="0" collapsed="false">
      <c r="A40" s="4" t="s">
        <v>69</v>
      </c>
      <c r="B40" s="23" t="n">
        <f aca="false">Summary!B6</f>
        <v>14.2</v>
      </c>
    </row>
    <row r="41" customFormat="false" ht="15" hidden="false" customHeight="false" outlineLevel="0" collapsed="false">
      <c r="A41" s="4" t="s">
        <v>70</v>
      </c>
      <c r="B41" s="24" t="n">
        <f aca="false">Summary!B8-Summary!B7</f>
        <v>421</v>
      </c>
    </row>
  </sheetData>
  <mergeCells count="6">
    <mergeCell ref="A1:H1"/>
    <mergeCell ref="A2:H2"/>
    <mergeCell ref="A4:H4"/>
    <mergeCell ref="A13:H13"/>
    <mergeCell ref="A24:H24"/>
    <mergeCell ref="A36:H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4"/>
    <col collapsed="false" customWidth="true" hidden="false" outlineLevel="0" max="8" min="2" style="0" width="14"/>
  </cols>
  <sheetData>
    <row r="1" customFormat="false" ht="25.5" hidden="false" customHeight="true" outlineLevel="0" collapsed="false">
      <c r="A1" s="1" t="s">
        <v>71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72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73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25" t="s">
        <v>74</v>
      </c>
      <c r="B5" s="26" t="s">
        <v>75</v>
      </c>
      <c r="C5" s="26" t="s">
        <v>76</v>
      </c>
      <c r="D5" s="26" t="s">
        <v>77</v>
      </c>
      <c r="E5" s="26" t="s">
        <v>78</v>
      </c>
      <c r="F5" s="26" t="s">
        <v>79</v>
      </c>
    </row>
    <row r="6" customFormat="false" ht="15" hidden="false" customHeight="false" outlineLevel="0" collapsed="false">
      <c r="A6" s="4" t="s">
        <v>37</v>
      </c>
      <c r="B6" s="27" t="n">
        <f aca="false">Assumptions!$B$5*(1+Assumptions!$B$14)</f>
        <v>1114.628</v>
      </c>
      <c r="C6" s="27" t="n">
        <f aca="false">B6*(1+Assumptions!$B$15)</f>
        <v>1270.67592</v>
      </c>
      <c r="D6" s="27" t="n">
        <f aca="false">C6*(1+Assumptions!$B$16)</f>
        <v>1397.743512</v>
      </c>
      <c r="E6" s="27" t="n">
        <f aca="false">D6*(1+Assumptions!$B$17)</f>
        <v>1509.56299296</v>
      </c>
      <c r="F6" s="27" t="n">
        <f aca="false">E6*(1+Assumptions!$B$18)</f>
        <v>1600.1367725376</v>
      </c>
    </row>
    <row r="7" customFormat="false" ht="15" hidden="false" customHeight="false" outlineLevel="0" collapsed="false">
      <c r="A7" s="28" t="s">
        <v>80</v>
      </c>
      <c r="B7" s="29" t="n">
        <f aca="false">Assumptions!$B$14</f>
        <v>0.18</v>
      </c>
      <c r="C7" s="29" t="n">
        <f aca="false">Assumptions!$B$15</f>
        <v>0.14</v>
      </c>
      <c r="D7" s="29" t="n">
        <f aca="false">Assumptions!$B$16</f>
        <v>0.1</v>
      </c>
      <c r="E7" s="29" t="n">
        <f aca="false">Assumptions!$B$17</f>
        <v>0.08</v>
      </c>
      <c r="F7" s="29" t="n">
        <f aca="false">Assumptions!$B$18</f>
        <v>0.06</v>
      </c>
    </row>
    <row r="8" customFormat="false" ht="15" hidden="false" customHeight="false" outlineLevel="0" collapsed="false">
      <c r="A8" s="4" t="s">
        <v>38</v>
      </c>
      <c r="B8" s="27" t="n">
        <f aca="false">B6*Assumptions!$B$19</f>
        <v>200.63304</v>
      </c>
      <c r="C8" s="27" t="n">
        <f aca="false">C6*Assumptions!$B$19</f>
        <v>228.7216656</v>
      </c>
      <c r="D8" s="27" t="n">
        <f aca="false">D6*Assumptions!$B$19</f>
        <v>251.59383216</v>
      </c>
      <c r="E8" s="27" t="n">
        <f aca="false">E6*Assumptions!$B$19</f>
        <v>271.7213387328</v>
      </c>
      <c r="F8" s="27" t="n">
        <f aca="false">F6*Assumptions!$B$19</f>
        <v>288.024619056768</v>
      </c>
    </row>
    <row r="9" customFormat="false" ht="15" hidden="false" customHeight="false" outlineLevel="0" collapsed="false">
      <c r="A9" s="4" t="s">
        <v>81</v>
      </c>
      <c r="B9" s="27" t="n">
        <f aca="false">-B6*Assumptions!$B$20</f>
        <v>-3.343884</v>
      </c>
      <c r="C9" s="27" t="n">
        <f aca="false">-C6*Assumptions!$B$20</f>
        <v>-3.81202776</v>
      </c>
      <c r="D9" s="27" t="n">
        <f aca="false">-D6*Assumptions!$B$20</f>
        <v>-4.193230536</v>
      </c>
      <c r="E9" s="27" t="n">
        <f aca="false">-E6*Assumptions!$B$20</f>
        <v>-4.52868897888</v>
      </c>
      <c r="F9" s="27" t="n">
        <f aca="false">-F6*Assumptions!$B$20</f>
        <v>-4.8004103176128</v>
      </c>
    </row>
    <row r="10" customFormat="false" ht="15" hidden="false" customHeight="false" outlineLevel="0" collapsed="false">
      <c r="A10" s="8" t="s">
        <v>82</v>
      </c>
      <c r="B10" s="9" t="n">
        <f aca="false">B8+B9</f>
        <v>197.289156</v>
      </c>
      <c r="C10" s="9" t="n">
        <f aca="false">C8+C9</f>
        <v>224.90963784</v>
      </c>
      <c r="D10" s="9" t="n">
        <f aca="false">D8+D9</f>
        <v>247.400601624</v>
      </c>
      <c r="E10" s="9" t="n">
        <f aca="false">E8+E9</f>
        <v>267.19264975392</v>
      </c>
      <c r="F10" s="9" t="n">
        <f aca="false">F8+F9</f>
        <v>283.224208739155</v>
      </c>
    </row>
    <row r="11" customFormat="false" ht="15" hidden="false" customHeight="false" outlineLevel="0" collapsed="false">
      <c r="A11" s="4" t="s">
        <v>83</v>
      </c>
      <c r="B11" s="27" t="n">
        <f aca="false">-B10*Assumptions!$B$9</f>
        <v>-28.015060152</v>
      </c>
      <c r="C11" s="27" t="n">
        <f aca="false">-C10*Assumptions!$B$9</f>
        <v>-31.93716857328</v>
      </c>
      <c r="D11" s="27" t="n">
        <f aca="false">-D10*Assumptions!$B$9</f>
        <v>-35.130885430608</v>
      </c>
      <c r="E11" s="27" t="n">
        <f aca="false">-E10*Assumptions!$B$9</f>
        <v>-37.9413562650567</v>
      </c>
      <c r="F11" s="27" t="n">
        <f aca="false">-F10*Assumptions!$B$9</f>
        <v>-40.21783764096</v>
      </c>
    </row>
    <row r="12" customFormat="false" ht="15" hidden="false" customHeight="false" outlineLevel="0" collapsed="false">
      <c r="A12" s="8" t="s">
        <v>84</v>
      </c>
      <c r="B12" s="9" t="n">
        <f aca="false">B10+B11</f>
        <v>169.274095848</v>
      </c>
      <c r="C12" s="9" t="n">
        <f aca="false">C10+C11</f>
        <v>192.97246926672</v>
      </c>
      <c r="D12" s="9" t="n">
        <f aca="false">D10+D11</f>
        <v>212.269716193392</v>
      </c>
      <c r="E12" s="9" t="n">
        <f aca="false">E10+E11</f>
        <v>229.251293488863</v>
      </c>
      <c r="F12" s="9" t="n">
        <f aca="false">F10+F11</f>
        <v>243.006371098195</v>
      </c>
    </row>
    <row r="13" customFormat="false" ht="15" hidden="false" customHeight="false" outlineLevel="0" collapsed="false">
      <c r="A13" s="4" t="s">
        <v>85</v>
      </c>
      <c r="B13" s="27" t="n">
        <f aca="false">-B9</f>
        <v>3.343884</v>
      </c>
      <c r="C13" s="27" t="n">
        <f aca="false">-C9</f>
        <v>3.81202776</v>
      </c>
      <c r="D13" s="27" t="n">
        <f aca="false">-D9</f>
        <v>4.193230536</v>
      </c>
      <c r="E13" s="27" t="n">
        <f aca="false">-E9</f>
        <v>4.52868897888</v>
      </c>
      <c r="F13" s="27" t="n">
        <f aca="false">-F9</f>
        <v>4.8004103176128</v>
      </c>
    </row>
    <row r="14" customFormat="false" ht="15" hidden="false" customHeight="false" outlineLevel="0" collapsed="false">
      <c r="A14" s="4" t="s">
        <v>86</v>
      </c>
      <c r="B14" s="27" t="n">
        <f aca="false">-B6*Assumptions!$B$21</f>
        <v>-11.14628</v>
      </c>
      <c r="C14" s="27" t="n">
        <f aca="false">-C6*Assumptions!$B$21</f>
        <v>-12.7067592</v>
      </c>
      <c r="D14" s="27" t="n">
        <f aca="false">-D6*Assumptions!$B$21</f>
        <v>-13.97743512</v>
      </c>
      <c r="E14" s="27" t="n">
        <f aca="false">-E6*Assumptions!$B$21</f>
        <v>-15.0956299296</v>
      </c>
      <c r="F14" s="27" t="n">
        <f aca="false">-F6*Assumptions!$B$21</f>
        <v>-16.001367725376</v>
      </c>
    </row>
    <row r="15" customFormat="false" ht="15" hidden="false" customHeight="false" outlineLevel="0" collapsed="false">
      <c r="A15" s="4" t="s">
        <v>87</v>
      </c>
      <c r="B15" s="27" t="n">
        <f aca="false">-(B6-Assumptions!$B$5)*Assumptions!$B$22</f>
        <v>-8.5014</v>
      </c>
      <c r="C15" s="27" t="n">
        <f aca="false">-(C6-B6)*Assumptions!$B$22</f>
        <v>-7.80239600000001</v>
      </c>
      <c r="D15" s="27" t="n">
        <f aca="false">-(D6-C6)*Assumptions!$B$22</f>
        <v>-6.35337960000001</v>
      </c>
      <c r="E15" s="27" t="n">
        <f aca="false">-(E6-D6)*Assumptions!$B$22</f>
        <v>-5.59097404800001</v>
      </c>
      <c r="F15" s="27" t="n">
        <f aca="false">-(F6-E6)*Assumptions!$B$22</f>
        <v>-4.52868897888001</v>
      </c>
    </row>
    <row r="16" customFormat="false" ht="15" hidden="false" customHeight="false" outlineLevel="0" collapsed="false">
      <c r="A16" s="30" t="s">
        <v>88</v>
      </c>
      <c r="B16" s="31" t="n">
        <f aca="false">B12+B13+B14+B15</f>
        <v>152.970299848</v>
      </c>
      <c r="C16" s="31" t="n">
        <f aca="false">C12+C13+C14+C15</f>
        <v>176.27534182672</v>
      </c>
      <c r="D16" s="31" t="n">
        <f aca="false">D12+D13+D14+D15</f>
        <v>196.132132009392</v>
      </c>
      <c r="E16" s="31" t="n">
        <f aca="false">E12+E13+E14+E15</f>
        <v>213.093378490143</v>
      </c>
      <c r="F16" s="31" t="n">
        <f aca="false">F12+F13+F14+F15</f>
        <v>227.276724711552</v>
      </c>
    </row>
    <row r="17" customFormat="false" ht="15" hidden="false" customHeight="false" outlineLevel="0" collapsed="false">
      <c r="A17" s="28" t="s">
        <v>89</v>
      </c>
      <c r="B17" s="32" t="n">
        <v>1</v>
      </c>
      <c r="C17" s="32" t="n">
        <v>2</v>
      </c>
      <c r="D17" s="32" t="n">
        <v>3</v>
      </c>
      <c r="E17" s="32" t="n">
        <v>4</v>
      </c>
      <c r="F17" s="32" t="n">
        <v>5</v>
      </c>
    </row>
    <row r="18" customFormat="false" ht="15" hidden="false" customHeight="false" outlineLevel="0" collapsed="false">
      <c r="A18" s="28" t="s">
        <v>90</v>
      </c>
      <c r="B18" s="33" t="n">
        <f aca="false">1/(1+Assumptions!$B$34)^B17</f>
        <v>0.908677873693776</v>
      </c>
      <c r="C18" s="33" t="n">
        <f aca="false">1/(1+Assumptions!$B$34)^C17</f>
        <v>0.825695478140641</v>
      </c>
      <c r="D18" s="33" t="n">
        <f aca="false">1/(1+Assumptions!$B$34)^D17</f>
        <v>0.750291211395403</v>
      </c>
      <c r="E18" s="33" t="n">
        <f aca="false">1/(1+Assumptions!$B$34)^E17</f>
        <v>0.681773022621902</v>
      </c>
      <c r="F18" s="33" t="n">
        <f aca="false">1/(1+Assumptions!$B$34)^F17</f>
        <v>0.619512060537848</v>
      </c>
    </row>
    <row r="19" customFormat="false" ht="15" hidden="false" customHeight="false" outlineLevel="0" collapsed="false">
      <c r="A19" s="8" t="s">
        <v>91</v>
      </c>
      <c r="B19" s="9" t="n">
        <f aca="false">B16*B18</f>
        <v>139.00072680418</v>
      </c>
      <c r="C19" s="9" t="n">
        <f aca="false">C16*C18</f>
        <v>145.549752654019</v>
      </c>
      <c r="D19" s="9" t="n">
        <f aca="false">D16*D18</f>
        <v>147.15621491889</v>
      </c>
      <c r="E19" s="9" t="n">
        <f aca="false">E16*E18</f>
        <v>145.281316753938</v>
      </c>
      <c r="F19" s="9" t="n">
        <f aca="false">F16*F18</f>
        <v>140.800672038347</v>
      </c>
    </row>
    <row r="21" customFormat="false" ht="18" hidden="false" customHeight="true" outlineLevel="0" collapsed="false">
      <c r="A21" s="3" t="s">
        <v>92</v>
      </c>
      <c r="B21" s="3"/>
      <c r="C21" s="3"/>
      <c r="D21" s="3"/>
      <c r="E21" s="3"/>
      <c r="F21" s="3"/>
      <c r="G21" s="3"/>
      <c r="H21" s="3"/>
    </row>
    <row r="22" customFormat="false" ht="15" hidden="false" customHeight="false" outlineLevel="0" collapsed="false">
      <c r="A22" s="4" t="s">
        <v>93</v>
      </c>
      <c r="B22" s="27" t="n">
        <f aca="false">SUM(B19:F19)</f>
        <v>717.788683169373</v>
      </c>
    </row>
    <row r="23" customFormat="false" ht="15" hidden="false" customHeight="false" outlineLevel="0" collapsed="false">
      <c r="A23" s="4" t="s">
        <v>94</v>
      </c>
      <c r="B23" s="27" t="n">
        <f aca="false">F16*(1+Assumptions!$B$37)</f>
        <v>234.095026452899</v>
      </c>
    </row>
    <row r="24" customFormat="false" ht="15" hidden="false" customHeight="false" outlineLevel="0" collapsed="false">
      <c r="A24" s="4" t="s">
        <v>95</v>
      </c>
      <c r="B24" s="27" t="n">
        <f aca="false">B23/(Assumptions!$B$34-Assumptions!$B$37)</f>
        <v>3320.49682911913</v>
      </c>
    </row>
    <row r="25" customFormat="false" ht="15" hidden="false" customHeight="false" outlineLevel="0" collapsed="false">
      <c r="A25" s="4" t="s">
        <v>96</v>
      </c>
      <c r="B25" s="27" t="n">
        <f aca="false">B24*F18</f>
        <v>2057.08783261698</v>
      </c>
    </row>
    <row r="26" customFormat="false" ht="15" hidden="false" customHeight="false" outlineLevel="0" collapsed="false">
      <c r="A26" s="14" t="s">
        <v>97</v>
      </c>
      <c r="B26" s="34" t="n">
        <f aca="false">B22+B25</f>
        <v>2774.87651578636</v>
      </c>
    </row>
    <row r="27" customFormat="false" ht="15" hidden="false" customHeight="false" outlineLevel="0" collapsed="false">
      <c r="A27" s="4" t="s">
        <v>98</v>
      </c>
      <c r="B27" s="24" t="n">
        <f aca="false">Assumptions!$B$41</f>
        <v>421</v>
      </c>
    </row>
    <row r="28" customFormat="false" ht="15" hidden="false" customHeight="false" outlineLevel="0" collapsed="false">
      <c r="A28" s="8" t="s">
        <v>99</v>
      </c>
      <c r="B28" s="9" t="n">
        <f aca="false">B26+B27</f>
        <v>3195.87651578636</v>
      </c>
    </row>
    <row r="29" customFormat="false" ht="15" hidden="false" customHeight="false" outlineLevel="0" collapsed="false">
      <c r="A29" s="35" t="s">
        <v>100</v>
      </c>
      <c r="B29" s="36" t="n">
        <f aca="false">(B22+ (F16*(1+Assumptions!$B$37-0.01)/(Assumptions!$B$34+0.01-(Assumptions!$B$37-0.01)))*F18 +Assumptions!$B$41)/Assumptions!$B$40</f>
        <v>191.951646802538</v>
      </c>
      <c r="C29" s="36" t="n">
        <f aca="false">B28/Assumptions!$B$40</f>
        <v>225.061726463828</v>
      </c>
      <c r="D29" s="36" t="n">
        <f aca="false">(B22+ (F16*(1+Assumptions!$B$37+0.01)/(Assumptions!$B$34-0.01-(Assumptions!$B$37+0.01)))*F18 +Assumptions!$B$41)/Assumptions!$B$40</f>
        <v>284.397611797426</v>
      </c>
    </row>
    <row r="31" customFormat="false" ht="18" hidden="false" customHeight="true" outlineLevel="0" collapsed="false">
      <c r="A31" s="3" t="s">
        <v>101</v>
      </c>
      <c r="B31" s="3"/>
      <c r="C31" s="3"/>
      <c r="D31" s="3"/>
      <c r="E31" s="3"/>
      <c r="F31" s="3"/>
      <c r="G31" s="3"/>
      <c r="H31" s="3"/>
    </row>
    <row r="32" customFormat="false" ht="15" hidden="false" customHeight="false" outlineLevel="0" collapsed="false">
      <c r="A32" s="4" t="s">
        <v>102</v>
      </c>
      <c r="B32" s="27" t="n">
        <f aca="false">F8</f>
        <v>288.024619056768</v>
      </c>
    </row>
    <row r="33" customFormat="false" ht="15" hidden="false" customHeight="false" outlineLevel="0" collapsed="false">
      <c r="A33" s="4" t="s">
        <v>67</v>
      </c>
      <c r="B33" s="37" t="n">
        <f aca="false">Assumptions!$B$38</f>
        <v>14</v>
      </c>
    </row>
    <row r="34" customFormat="false" ht="15" hidden="false" customHeight="false" outlineLevel="0" collapsed="false">
      <c r="A34" s="4" t="s">
        <v>103</v>
      </c>
      <c r="B34" s="27" t="n">
        <f aca="false">B32*Assumptions!$B$38</f>
        <v>4032.34466679475</v>
      </c>
    </row>
    <row r="35" customFormat="false" ht="15" hidden="false" customHeight="false" outlineLevel="0" collapsed="false">
      <c r="A35" s="4" t="s">
        <v>96</v>
      </c>
      <c r="B35" s="27" t="n">
        <f aca="false">B34*F18</f>
        <v>2498.08615332482</v>
      </c>
    </row>
    <row r="36" customFormat="false" ht="15" hidden="false" customHeight="false" outlineLevel="0" collapsed="false">
      <c r="A36" s="8" t="s">
        <v>104</v>
      </c>
      <c r="B36" s="9" t="n">
        <f aca="false">B22+B35</f>
        <v>3215.87483649419</v>
      </c>
    </row>
    <row r="37" customFormat="false" ht="15" hidden="false" customHeight="false" outlineLevel="0" collapsed="false">
      <c r="A37" s="4" t="s">
        <v>105</v>
      </c>
      <c r="B37" s="27" t="n">
        <f aca="false">B36+Assumptions!$B$41</f>
        <v>3636.87483649419</v>
      </c>
    </row>
    <row r="38" customFormat="false" ht="15" hidden="false" customHeight="false" outlineLevel="0" collapsed="false">
      <c r="A38" s="35" t="s">
        <v>106</v>
      </c>
      <c r="B38" s="36" t="n">
        <f aca="false">(B22+B32*(Assumptions!$B$38-2)*F18+Assumptions!$B$41)/Assumptions!$B$40</f>
        <v>230.986294790086</v>
      </c>
      <c r="C38" s="36" t="n">
        <f aca="false">B37/Assumptions!$B$40</f>
        <v>256.117946231985</v>
      </c>
      <c r="D38" s="36" t="n">
        <f aca="false">(B22+B32*(Assumptions!$B$38+2)*F18+Assumptions!$B$41)/Assumptions!$B$40</f>
        <v>281.249597673885</v>
      </c>
    </row>
  </sheetData>
  <mergeCells count="5">
    <mergeCell ref="A1:H1"/>
    <mergeCell ref="A2:H2"/>
    <mergeCell ref="A4:H4"/>
    <mergeCell ref="A21:H21"/>
    <mergeCell ref="A31:H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6" min="2" style="0" width="16"/>
  </cols>
  <sheetData>
    <row r="1" customFormat="false" ht="25.5" hidden="false" customHeight="true" outlineLevel="0" collapsed="false">
      <c r="A1" s="1" t="s">
        <v>107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108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109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" t="s">
        <v>68</v>
      </c>
      <c r="B5" s="12" t="n">
        <f aca="false">Assumptions!$B$39</f>
        <v>720</v>
      </c>
    </row>
    <row r="6" customFormat="false" ht="15" hidden="false" customHeight="false" outlineLevel="0" collapsed="false">
      <c r="A6" s="4" t="s">
        <v>69</v>
      </c>
      <c r="B6" s="23" t="n">
        <f aca="false">Assumptions!$B$40</f>
        <v>14.2</v>
      </c>
    </row>
    <row r="7" customFormat="false" ht="15" hidden="false" customHeight="false" outlineLevel="0" collapsed="false">
      <c r="A7" s="8" t="s">
        <v>110</v>
      </c>
      <c r="B7" s="9" t="n">
        <f aca="false">B5*B6</f>
        <v>10224</v>
      </c>
    </row>
    <row r="8" customFormat="false" ht="15" hidden="false" customHeight="false" outlineLevel="0" collapsed="false">
      <c r="A8" s="4" t="s">
        <v>111</v>
      </c>
      <c r="B8" s="24" t="n">
        <f aca="false">-Assumptions!$B$41</f>
        <v>-421</v>
      </c>
    </row>
    <row r="9" customFormat="false" ht="15" hidden="false" customHeight="false" outlineLevel="0" collapsed="false">
      <c r="A9" s="14" t="s">
        <v>112</v>
      </c>
      <c r="B9" s="34" t="n">
        <f aca="false">B7+B8</f>
        <v>9803</v>
      </c>
    </row>
    <row r="11" customFormat="false" ht="18" hidden="false" customHeight="true" outlineLevel="0" collapsed="false">
      <c r="A11" s="3" t="s">
        <v>113</v>
      </c>
      <c r="B11" s="3"/>
      <c r="C11" s="3"/>
      <c r="D11" s="3"/>
      <c r="E11" s="3"/>
      <c r="F11" s="3"/>
      <c r="G11" s="3"/>
      <c r="H11" s="3"/>
    </row>
    <row r="12" customFormat="false" ht="15" hidden="false" customHeight="false" outlineLevel="0" collapsed="false">
      <c r="A12" s="4" t="s">
        <v>114</v>
      </c>
      <c r="B12" s="27" t="n">
        <f aca="false">Assumptions!$B$6*(1-Assumptions!$B$9)</f>
        <v>139.6824</v>
      </c>
    </row>
    <row r="13" customFormat="false" ht="15" hidden="false" customHeight="false" outlineLevel="0" collapsed="false">
      <c r="A13" s="4" t="s">
        <v>64</v>
      </c>
      <c r="B13" s="38" t="n">
        <f aca="false">Assumptions!$B$34</f>
        <v>0.1005</v>
      </c>
    </row>
    <row r="14" customFormat="false" ht="15" hidden="false" customHeight="false" outlineLevel="0" collapsed="false">
      <c r="A14" s="39" t="s">
        <v>115</v>
      </c>
      <c r="B14" s="40" t="n">
        <f aca="false">(B9*B13-B12)/(B9+B12)</f>
        <v>0.0850393350591184</v>
      </c>
    </row>
    <row r="16" customFormat="false" ht="15" hidden="false" customHeight="false" outlineLevel="0" collapsed="false">
      <c r="A16" s="41" t="s">
        <v>116</v>
      </c>
    </row>
    <row r="17" customFormat="false" ht="13.5" hidden="false" customHeight="true" outlineLevel="0" collapsed="false">
      <c r="A17" s="42" t="s">
        <v>117</v>
      </c>
      <c r="B17" s="42"/>
      <c r="C17" s="42"/>
      <c r="D17" s="42"/>
      <c r="E17" s="42"/>
      <c r="F17" s="42"/>
    </row>
    <row r="18" customFormat="false" ht="15" hidden="false" customHeight="false" outlineLevel="0" collapsed="false">
      <c r="A18" s="42"/>
      <c r="B18" s="42"/>
      <c r="C18" s="42"/>
      <c r="D18" s="42"/>
      <c r="E18" s="42"/>
      <c r="F18" s="42"/>
    </row>
    <row r="19" customFormat="false" ht="15" hidden="false" customHeight="false" outlineLevel="0" collapsed="false">
      <c r="A19" s="42"/>
      <c r="B19" s="42"/>
      <c r="C19" s="42"/>
      <c r="D19" s="42"/>
      <c r="E19" s="42"/>
      <c r="F19" s="42"/>
    </row>
  </sheetData>
  <mergeCells count="5">
    <mergeCell ref="A1:H1"/>
    <mergeCell ref="A2:H2"/>
    <mergeCell ref="A4:H4"/>
    <mergeCell ref="A11:H11"/>
    <mergeCell ref="A17:F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7" min="2" style="0" width="12"/>
    <col collapsed="false" customWidth="true" hidden="false" outlineLevel="0" max="8" min="8" style="0" width="14"/>
  </cols>
  <sheetData>
    <row r="1" customFormat="false" ht="25.5" hidden="false" customHeight="true" outlineLevel="0" collapsed="false">
      <c r="A1" s="1" t="s">
        <v>118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119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120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3" t="s">
        <v>121</v>
      </c>
      <c r="B5" s="44" t="s">
        <v>122</v>
      </c>
      <c r="C5" s="44" t="s">
        <v>123</v>
      </c>
      <c r="D5" s="44" t="s">
        <v>124</v>
      </c>
      <c r="E5" s="44" t="s">
        <v>125</v>
      </c>
      <c r="F5" s="44" t="s">
        <v>126</v>
      </c>
    </row>
    <row r="6" customFormat="false" ht="15" hidden="false" customHeight="false" outlineLevel="0" collapsed="false">
      <c r="A6" s="45" t="s">
        <v>127</v>
      </c>
      <c r="B6" s="46" t="n">
        <v>18</v>
      </c>
      <c r="C6" s="46" t="n">
        <v>30</v>
      </c>
      <c r="D6" s="46" t="n">
        <v>1.6</v>
      </c>
      <c r="E6" s="47" t="n">
        <v>0.13</v>
      </c>
      <c r="F6" s="48" t="n">
        <f aca="false">C6/(E6*100)</f>
        <v>2.30769230769231</v>
      </c>
    </row>
    <row r="7" customFormat="false" ht="15" hidden="false" customHeight="false" outlineLevel="0" collapsed="false">
      <c r="A7" s="45" t="s">
        <v>128</v>
      </c>
      <c r="B7" s="46" t="n">
        <v>12</v>
      </c>
      <c r="C7" s="46" t="n">
        <v>22</v>
      </c>
      <c r="D7" s="46" t="n">
        <v>0.9</v>
      </c>
      <c r="E7" s="47" t="n">
        <v>0.11</v>
      </c>
      <c r="F7" s="48" t="n">
        <f aca="false">C7/(E7*100)</f>
        <v>2</v>
      </c>
    </row>
    <row r="8" customFormat="false" ht="15" hidden="false" customHeight="false" outlineLevel="0" collapsed="false">
      <c r="A8" s="45" t="s">
        <v>129</v>
      </c>
      <c r="B8" s="46" t="n">
        <v>9</v>
      </c>
      <c r="C8" s="46" t="n">
        <v>16</v>
      </c>
      <c r="D8" s="46" t="n">
        <v>0.4</v>
      </c>
      <c r="E8" s="47" t="n">
        <v>0.08</v>
      </c>
      <c r="F8" s="48" t="n">
        <f aca="false">C8/(E8*100)</f>
        <v>2</v>
      </c>
    </row>
    <row r="9" customFormat="false" ht="15" hidden="false" customHeight="false" outlineLevel="0" collapsed="false">
      <c r="A9" s="45" t="s">
        <v>130</v>
      </c>
      <c r="B9" s="46" t="n">
        <v>15</v>
      </c>
      <c r="C9" s="46" t="n">
        <v>21</v>
      </c>
      <c r="D9" s="46" t="n">
        <v>1.3</v>
      </c>
      <c r="E9" s="47" t="n">
        <v>0.12</v>
      </c>
      <c r="F9" s="48" t="n">
        <f aca="false">C9/(E9*100)</f>
        <v>1.75</v>
      </c>
    </row>
    <row r="10" customFormat="false" ht="15" hidden="false" customHeight="false" outlineLevel="0" collapsed="false">
      <c r="A10" s="45" t="s">
        <v>131</v>
      </c>
      <c r="B10" s="46" t="n">
        <v>11</v>
      </c>
      <c r="C10" s="46" t="n">
        <v>17</v>
      </c>
      <c r="D10" s="46" t="n">
        <v>0.7</v>
      </c>
      <c r="E10" s="47" t="n">
        <v>0.1</v>
      </c>
      <c r="F10" s="48" t="n">
        <f aca="false">C10/(E10*100)</f>
        <v>1.7</v>
      </c>
    </row>
    <row r="11" customFormat="false" ht="15" hidden="false" customHeight="false" outlineLevel="0" collapsed="false">
      <c r="A11" s="49" t="s">
        <v>132</v>
      </c>
      <c r="B11" s="50" t="n">
        <f aca="false">MEDIAN(B6:B10)</f>
        <v>12</v>
      </c>
      <c r="C11" s="50" t="n">
        <f aca="false">MEDIAN(C6:C10)</f>
        <v>21</v>
      </c>
      <c r="D11" s="50" t="n">
        <f aca="false">MEDIAN(D6:D10)</f>
        <v>0.9</v>
      </c>
      <c r="E11" s="15"/>
      <c r="F11" s="51" t="n">
        <f aca="false">MEDIAN(F6:F10)</f>
        <v>2</v>
      </c>
    </row>
    <row r="12" customFormat="false" ht="15" hidden="false" customHeight="false" outlineLevel="0" collapsed="false">
      <c r="A12" s="49" t="s">
        <v>133</v>
      </c>
      <c r="B12" s="50" t="n">
        <f aca="false">AVERAGE(B6:B10)</f>
        <v>13</v>
      </c>
      <c r="C12" s="50" t="n">
        <f aca="false">AVERAGE(C6:C10)</f>
        <v>21.2</v>
      </c>
      <c r="D12" s="50" t="n">
        <f aca="false">AVERAGE(D6:D10)</f>
        <v>0.98</v>
      </c>
      <c r="E12" s="15"/>
      <c r="F12" s="51" t="n">
        <f aca="false">AVERAGE(F6:F10)</f>
        <v>1.95153846153846</v>
      </c>
    </row>
    <row r="13" customFormat="false" ht="15" hidden="false" customHeight="false" outlineLevel="0" collapsed="false">
      <c r="A13" s="49" t="s">
        <v>134</v>
      </c>
      <c r="B13" s="50" t="n">
        <f aca="false">MIN(B6:B10)</f>
        <v>9</v>
      </c>
      <c r="C13" s="50" t="n">
        <f aca="false">MIN(C6:C10)</f>
        <v>16</v>
      </c>
      <c r="D13" s="50" t="n">
        <f aca="false">MIN(D6:D10)</f>
        <v>0.4</v>
      </c>
      <c r="E13" s="15"/>
      <c r="F13" s="51" t="n">
        <f aca="false">MIN(F6:F10)</f>
        <v>1.7</v>
      </c>
    </row>
    <row r="14" customFormat="false" ht="15" hidden="false" customHeight="false" outlineLevel="0" collapsed="false">
      <c r="A14" s="49" t="s">
        <v>135</v>
      </c>
      <c r="B14" s="50" t="n">
        <f aca="false">MAX(B6:B10)</f>
        <v>18</v>
      </c>
      <c r="C14" s="50" t="n">
        <f aca="false">MAX(C6:C10)</f>
        <v>30</v>
      </c>
      <c r="D14" s="50" t="n">
        <f aca="false">MAX(D6:D10)</f>
        <v>1.6</v>
      </c>
      <c r="E14" s="15"/>
      <c r="F14" s="51" t="n">
        <f aca="false">MAX(F6:F10)</f>
        <v>2.30769230769231</v>
      </c>
    </row>
    <row r="16" customFormat="false" ht="18" hidden="false" customHeight="true" outlineLevel="0" collapsed="false">
      <c r="A16" s="3" t="s">
        <v>136</v>
      </c>
      <c r="B16" s="3"/>
      <c r="C16" s="3"/>
      <c r="D16" s="3"/>
      <c r="E16" s="3"/>
      <c r="F16" s="3"/>
      <c r="G16" s="3"/>
      <c r="H16" s="3"/>
    </row>
    <row r="17" customFormat="false" ht="15" hidden="false" customHeight="false" outlineLevel="0" collapsed="false">
      <c r="A17" s="4" t="s">
        <v>137</v>
      </c>
      <c r="B17" s="24" t="n">
        <f aca="false">Assumptions!$B$6</f>
        <v>162.8</v>
      </c>
    </row>
    <row r="18" customFormat="false" ht="15" hidden="false" customHeight="false" outlineLevel="0" collapsed="false">
      <c r="A18" s="4" t="s">
        <v>138</v>
      </c>
      <c r="B18" s="20" t="n">
        <v>0.85</v>
      </c>
      <c r="H18" s="52" t="n">
        <f aca="false">B21</f>
        <v>132.830985915493</v>
      </c>
    </row>
    <row r="19" customFormat="false" ht="15" hidden="false" customHeight="false" outlineLevel="0" collapsed="false">
      <c r="A19" s="53" t="s">
        <v>139</v>
      </c>
      <c r="B19" s="54" t="s">
        <v>140</v>
      </c>
      <c r="C19" s="54" t="s">
        <v>141</v>
      </c>
      <c r="D19" s="54" t="s">
        <v>142</v>
      </c>
      <c r="H19" s="52" t="n">
        <f aca="false">C21</f>
        <v>146.588732394366</v>
      </c>
    </row>
    <row r="20" customFormat="false" ht="15" hidden="false" customHeight="false" outlineLevel="0" collapsed="false">
      <c r="A20" s="4" t="s">
        <v>143</v>
      </c>
      <c r="B20" s="55" t="n">
        <f aca="false">B17*B13</f>
        <v>1465.2</v>
      </c>
      <c r="C20" s="55" t="n">
        <f aca="false">B17*B11*B18</f>
        <v>1660.56</v>
      </c>
      <c r="D20" s="55" t="n">
        <f aca="false">B17*B14</f>
        <v>2930.4</v>
      </c>
      <c r="H20" s="52" t="n">
        <f aca="false">D21</f>
        <v>236.014084507042</v>
      </c>
    </row>
    <row r="21" customFormat="false" ht="15" hidden="false" customHeight="false" outlineLevel="0" collapsed="false">
      <c r="A21" s="35" t="s">
        <v>144</v>
      </c>
      <c r="B21" s="56" t="n">
        <f aca="false">(B20+Assumptions!$B$41)/Assumptions!$B$40</f>
        <v>132.830985915493</v>
      </c>
      <c r="C21" s="56" t="n">
        <f aca="false">(C20+Assumptions!$B$41)/Assumptions!$B$40</f>
        <v>146.588732394366</v>
      </c>
      <c r="D21" s="56" t="n">
        <f aca="false">(D20+Assumptions!$B$41)/Assumptions!$B$40</f>
        <v>236.014084507042</v>
      </c>
    </row>
    <row r="23" customFormat="false" ht="18" hidden="false" customHeight="true" outlineLevel="0" collapsed="false">
      <c r="A23" s="3" t="s">
        <v>145</v>
      </c>
      <c r="B23" s="3"/>
      <c r="C23" s="3"/>
      <c r="D23" s="3"/>
      <c r="E23" s="3"/>
      <c r="F23" s="3"/>
      <c r="G23" s="3"/>
      <c r="H23" s="3"/>
    </row>
    <row r="24" customFormat="false" ht="15" hidden="false" customHeight="false" outlineLevel="0" collapsed="false">
      <c r="A24" s="4" t="s">
        <v>146</v>
      </c>
      <c r="B24" s="57" t="n">
        <f aca="false">137.774/Assumptions!$B$40</f>
        <v>9.70239436619718</v>
      </c>
    </row>
    <row r="25" customFormat="false" ht="15" hidden="false" customHeight="false" outlineLevel="0" collapsed="false">
      <c r="A25" s="53" t="s">
        <v>139</v>
      </c>
      <c r="B25" s="54" t="s">
        <v>140</v>
      </c>
      <c r="C25" s="54" t="s">
        <v>147</v>
      </c>
      <c r="D25" s="54" t="s">
        <v>142</v>
      </c>
    </row>
    <row r="26" customFormat="false" ht="15" hidden="false" customHeight="false" outlineLevel="0" collapsed="false">
      <c r="A26" s="35" t="s">
        <v>144</v>
      </c>
      <c r="B26" s="56" t="n">
        <f aca="false">B24*C13</f>
        <v>155.238309859155</v>
      </c>
      <c r="C26" s="56" t="n">
        <f aca="false">B24*C11</f>
        <v>203.750281690141</v>
      </c>
      <c r="D26" s="56" t="n">
        <f aca="false">B24*C14</f>
        <v>291.071830985916</v>
      </c>
      <c r="H26" s="52" t="n">
        <f aca="false">B26</f>
        <v>155.238309859155</v>
      </c>
    </row>
    <row r="27" customFormat="false" ht="15" hidden="false" customHeight="false" outlineLevel="0" collapsed="false">
      <c r="H27" s="52" t="n">
        <f aca="false">C26</f>
        <v>203.750281690141</v>
      </c>
    </row>
    <row r="28" customFormat="false" ht="15" hidden="false" customHeight="false" outlineLevel="0" collapsed="false">
      <c r="H28" s="52" t="n">
        <f aca="false">D26</f>
        <v>291.071830985916</v>
      </c>
    </row>
  </sheetData>
  <mergeCells count="5">
    <mergeCell ref="A1:H1"/>
    <mergeCell ref="A2:H2"/>
    <mergeCell ref="A4:H4"/>
    <mergeCell ref="A16:H16"/>
    <mergeCell ref="A23:H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6" min="2" style="0" width="16"/>
  </cols>
  <sheetData>
    <row r="1" customFormat="false" ht="25.5" hidden="false" customHeight="true" outlineLevel="0" collapsed="false">
      <c r="A1" s="1" t="s">
        <v>148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149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150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" t="s">
        <v>151</v>
      </c>
      <c r="B5" s="5" t="n">
        <v>2</v>
      </c>
    </row>
    <row r="6" customFormat="false" ht="15" hidden="false" customHeight="false" outlineLevel="0" collapsed="false">
      <c r="A6" s="4" t="s">
        <v>152</v>
      </c>
      <c r="B6" s="38" t="n">
        <f aca="false">Assumptions!B28</f>
        <v>0.1005</v>
      </c>
    </row>
    <row r="7" customFormat="false" ht="15" hidden="false" customHeight="false" outlineLevel="0" collapsed="false">
      <c r="A7" s="4" t="s">
        <v>153</v>
      </c>
      <c r="B7" s="20" t="n">
        <v>0.12</v>
      </c>
    </row>
    <row r="8" customFormat="false" ht="15" hidden="false" customHeight="false" outlineLevel="0" collapsed="false">
      <c r="A8" s="4" t="s">
        <v>154</v>
      </c>
      <c r="B8" s="20" t="n">
        <v>0.04</v>
      </c>
    </row>
    <row r="10" customFormat="false" ht="18" hidden="false" customHeight="true" outlineLevel="0" collapsed="false">
      <c r="A10" s="3" t="s">
        <v>155</v>
      </c>
      <c r="B10" s="3"/>
      <c r="C10" s="3"/>
      <c r="D10" s="3"/>
      <c r="E10" s="3"/>
      <c r="F10" s="3"/>
      <c r="G10" s="3"/>
      <c r="H10" s="3"/>
    </row>
    <row r="11" customFormat="false" ht="15" hidden="false" customHeight="false" outlineLevel="0" collapsed="false">
      <c r="A11" s="4" t="s">
        <v>156</v>
      </c>
      <c r="B11" s="58" t="n">
        <f aca="false">B5*(1+B8)/(B6-B8)</f>
        <v>34.3801652892562</v>
      </c>
    </row>
    <row r="13" customFormat="false" ht="18" hidden="false" customHeight="true" outlineLevel="0" collapsed="false">
      <c r="A13" s="3" t="s">
        <v>157</v>
      </c>
      <c r="B13" s="3"/>
      <c r="C13" s="3"/>
      <c r="D13" s="3"/>
      <c r="E13" s="3"/>
      <c r="F13" s="3"/>
      <c r="G13" s="3"/>
      <c r="H13" s="3"/>
    </row>
    <row r="14" customFormat="false" ht="15" hidden="false" customHeight="false" outlineLevel="0" collapsed="false">
      <c r="A14" s="53" t="s">
        <v>158</v>
      </c>
      <c r="B14" s="59" t="n">
        <v>1</v>
      </c>
      <c r="C14" s="59" t="n">
        <v>2</v>
      </c>
      <c r="D14" s="59" t="n">
        <v>3</v>
      </c>
      <c r="E14" s="59" t="n">
        <v>4</v>
      </c>
      <c r="F14" s="59" t="n">
        <v>5</v>
      </c>
    </row>
    <row r="15" customFormat="false" ht="15" hidden="false" customHeight="false" outlineLevel="0" collapsed="false">
      <c r="A15" s="4" t="s">
        <v>159</v>
      </c>
      <c r="B15" s="60" t="n">
        <f aca="false">B5*(1+B7)</f>
        <v>2.24</v>
      </c>
      <c r="C15" s="60" t="n">
        <f aca="false">B15*(1+B7)</f>
        <v>2.5088</v>
      </c>
      <c r="D15" s="60" t="n">
        <f aca="false">C15*(1+B7)</f>
        <v>2.809856</v>
      </c>
      <c r="E15" s="60" t="n">
        <f aca="false">D15*(1+B7)</f>
        <v>3.14703872</v>
      </c>
      <c r="F15" s="60" t="n">
        <f aca="false">E15*(1+B7)</f>
        <v>3.5246833664</v>
      </c>
    </row>
    <row r="16" customFormat="false" ht="15" hidden="false" customHeight="false" outlineLevel="0" collapsed="false">
      <c r="A16" s="4" t="s">
        <v>160</v>
      </c>
      <c r="B16" s="60" t="n">
        <f aca="false">B15/(1+B6)^1</f>
        <v>2.03543843707406</v>
      </c>
      <c r="C16" s="60" t="n">
        <f aca="false">C15/(1+B6)^2</f>
        <v>2.07150481555924</v>
      </c>
      <c r="D16" s="60" t="n">
        <f aca="false">D15/(1+B6)^3</f>
        <v>2.10821026208664</v>
      </c>
      <c r="E16" s="60" t="n">
        <f aca="false">E15/(1+B6)^4</f>
        <v>2.14556610044256</v>
      </c>
      <c r="F16" s="60" t="n">
        <f aca="false">F15/(1+B6)^5</f>
        <v>2.18358385506194</v>
      </c>
    </row>
    <row r="17" customFormat="false" ht="15" hidden="false" customHeight="false" outlineLevel="0" collapsed="false">
      <c r="A17" s="4" t="s">
        <v>161</v>
      </c>
      <c r="B17" s="57" t="n">
        <f aca="false">F15*(1+B8)/(B6-B8)</f>
        <v>60.589598364562</v>
      </c>
    </row>
    <row r="18" customFormat="false" ht="15" hidden="false" customHeight="false" outlineLevel="0" collapsed="false">
      <c r="A18" s="4" t="s">
        <v>96</v>
      </c>
      <c r="B18" s="57" t="n">
        <f aca="false">B17/(1+B6)^5</f>
        <v>37.5359869299905</v>
      </c>
    </row>
    <row r="19" customFormat="false" ht="15" hidden="false" customHeight="false" outlineLevel="0" collapsed="false">
      <c r="A19" s="35" t="s">
        <v>162</v>
      </c>
      <c r="B19" s="36" t="n">
        <f aca="false">SUM(B16:F16)+B18</f>
        <v>48.0802904002149</v>
      </c>
    </row>
    <row r="21" customFormat="false" ht="15" hidden="false" customHeight="true" outlineLevel="0" collapsed="false">
      <c r="A21" s="19" t="s">
        <v>163</v>
      </c>
      <c r="B21" s="19"/>
      <c r="C21" s="19"/>
      <c r="D21" s="19"/>
      <c r="E21" s="19"/>
      <c r="F21" s="19"/>
    </row>
    <row r="22" customFormat="false" ht="15" hidden="false" customHeight="false" outlineLevel="0" collapsed="false">
      <c r="A22" s="19"/>
      <c r="B22" s="19"/>
      <c r="C22" s="19"/>
      <c r="D22" s="19"/>
      <c r="E22" s="19"/>
      <c r="F22" s="19"/>
    </row>
    <row r="23" customFormat="false" ht="15" hidden="false" customHeight="false" outlineLevel="0" collapsed="false">
      <c r="A23" s="61" t="s">
        <v>164</v>
      </c>
      <c r="B23" s="52" t="n">
        <f aca="false">B11</f>
        <v>34.3801652892562</v>
      </c>
    </row>
    <row r="24" customFormat="false" ht="15" hidden="false" customHeight="false" outlineLevel="0" collapsed="false">
      <c r="A24" s="61" t="s">
        <v>165</v>
      </c>
      <c r="B24" s="52" t="n">
        <f aca="false">B19</f>
        <v>48.0802904002149</v>
      </c>
    </row>
    <row r="25" customFormat="false" ht="15" hidden="false" customHeight="false" outlineLevel="0" collapsed="false">
      <c r="A25" s="61" t="s">
        <v>166</v>
      </c>
      <c r="B25" s="52" t="n">
        <f aca="false">MAX(B11,B19)</f>
        <v>48.0802904002149</v>
      </c>
    </row>
  </sheetData>
  <mergeCells count="6">
    <mergeCell ref="A1:H1"/>
    <mergeCell ref="A2:H2"/>
    <mergeCell ref="A4:H4"/>
    <mergeCell ref="A10:H10"/>
    <mergeCell ref="A13:H13"/>
    <mergeCell ref="A21:F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6"/>
    <col collapsed="false" customWidth="true" hidden="false" outlineLevel="0" max="6" min="2" style="0" width="15"/>
  </cols>
  <sheetData>
    <row r="1" customFormat="false" ht="25.5" hidden="false" customHeight="true" outlineLevel="0" collapsed="false">
      <c r="A1" s="1" t="s">
        <v>167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168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150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" t="s">
        <v>169</v>
      </c>
      <c r="B5" s="7" t="n">
        <v>2800</v>
      </c>
    </row>
    <row r="6" customFormat="false" ht="15" hidden="false" customHeight="false" outlineLevel="0" collapsed="false">
      <c r="A6" s="4" t="s">
        <v>170</v>
      </c>
      <c r="B6" s="20" t="n">
        <v>0.4</v>
      </c>
    </row>
    <row r="7" customFormat="false" ht="15" hidden="false" customHeight="false" outlineLevel="0" collapsed="false">
      <c r="A7" s="4" t="s">
        <v>171</v>
      </c>
      <c r="B7" s="62" t="n">
        <v>1.1</v>
      </c>
    </row>
    <row r="8" customFormat="false" ht="15" hidden="false" customHeight="false" outlineLevel="0" collapsed="false">
      <c r="A8" s="4" t="s">
        <v>172</v>
      </c>
      <c r="B8" s="20" t="n">
        <v>0.18</v>
      </c>
    </row>
    <row r="9" customFormat="false" ht="15" hidden="false" customHeight="false" outlineLevel="0" collapsed="false">
      <c r="A9" s="4" t="s">
        <v>173</v>
      </c>
      <c r="B9" s="22" t="n">
        <v>14</v>
      </c>
    </row>
    <row r="11" customFormat="false" ht="18" hidden="false" customHeight="true" outlineLevel="0" collapsed="false">
      <c r="A11" s="3" t="s">
        <v>174</v>
      </c>
      <c r="B11" s="3"/>
      <c r="C11" s="3"/>
      <c r="D11" s="3"/>
      <c r="E11" s="3"/>
      <c r="F11" s="3"/>
      <c r="G11" s="3"/>
      <c r="H11" s="3"/>
    </row>
    <row r="12" customFormat="false" ht="15" hidden="false" customHeight="false" outlineLevel="0" collapsed="false">
      <c r="A12" s="63" t="s">
        <v>74</v>
      </c>
      <c r="B12" s="64" t="s">
        <v>75</v>
      </c>
      <c r="C12" s="64" t="s">
        <v>76</v>
      </c>
      <c r="D12" s="64" t="s">
        <v>77</v>
      </c>
    </row>
    <row r="13" customFormat="false" ht="15" hidden="false" customHeight="false" outlineLevel="0" collapsed="false">
      <c r="A13" s="4" t="s">
        <v>175</v>
      </c>
      <c r="B13" s="55" t="n">
        <f aca="false">B5</f>
        <v>2800</v>
      </c>
      <c r="C13" s="55" t="n">
        <f aca="false">B17</f>
        <v>2912</v>
      </c>
      <c r="D13" s="55" t="n">
        <f aca="false">C17</f>
        <v>3028.48</v>
      </c>
    </row>
    <row r="14" customFormat="false" ht="15" hidden="false" customHeight="false" outlineLevel="0" collapsed="false">
      <c r="A14" s="4" t="s">
        <v>176</v>
      </c>
      <c r="B14" s="55" t="n">
        <f aca="false">B13*B6</f>
        <v>1120</v>
      </c>
      <c r="C14" s="55" t="n">
        <f aca="false">C13*B6</f>
        <v>1164.8</v>
      </c>
      <c r="D14" s="55" t="n">
        <f aca="false">D13*B6</f>
        <v>1211.392</v>
      </c>
    </row>
    <row r="15" customFormat="false" ht="15" hidden="false" customHeight="false" outlineLevel="0" collapsed="false">
      <c r="A15" s="4" t="s">
        <v>177</v>
      </c>
      <c r="B15" s="55" t="n">
        <f aca="false">B14*B7</f>
        <v>1232</v>
      </c>
      <c r="C15" s="55" t="n">
        <f aca="false">C14*B7</f>
        <v>1281.28</v>
      </c>
      <c r="D15" s="55" t="n">
        <f aca="false">D14*B7</f>
        <v>1332.5312</v>
      </c>
    </row>
    <row r="16" customFormat="false" ht="15" hidden="false" customHeight="false" outlineLevel="0" collapsed="false">
      <c r="A16" s="8" t="s">
        <v>178</v>
      </c>
      <c r="B16" s="65" t="n">
        <f aca="false">B14*B8</f>
        <v>201.6</v>
      </c>
      <c r="C16" s="65" t="n">
        <f aca="false">C14*B8</f>
        <v>209.664</v>
      </c>
      <c r="D16" s="65" t="n">
        <f aca="false">D14*B8</f>
        <v>218.05056</v>
      </c>
    </row>
    <row r="17" customFormat="false" ht="15" hidden="false" customHeight="false" outlineLevel="0" collapsed="false">
      <c r="A17" s="14" t="s">
        <v>179</v>
      </c>
      <c r="B17" s="66" t="n">
        <f aca="false">B13-B14+B15</f>
        <v>2912</v>
      </c>
      <c r="C17" s="66" t="n">
        <f aca="false">C13-C14+C15</f>
        <v>3028.48</v>
      </c>
      <c r="D17" s="66" t="n">
        <f aca="false">D13-D14+D15</f>
        <v>3149.6192</v>
      </c>
    </row>
    <row r="19" customFormat="false" ht="18" hidden="false" customHeight="true" outlineLevel="0" collapsed="false">
      <c r="A19" s="3" t="s">
        <v>180</v>
      </c>
      <c r="B19" s="3"/>
      <c r="C19" s="3"/>
      <c r="D19" s="3"/>
      <c r="E19" s="3"/>
      <c r="F19" s="3"/>
      <c r="G19" s="3"/>
      <c r="H19" s="3"/>
    </row>
    <row r="20" customFormat="false" ht="15" hidden="false" customHeight="false" outlineLevel="0" collapsed="false">
      <c r="A20" s="4" t="s">
        <v>181</v>
      </c>
      <c r="B20" s="27" t="n">
        <f aca="false">D16</f>
        <v>218.05056</v>
      </c>
    </row>
    <row r="21" customFormat="false" ht="15" hidden="false" customHeight="false" outlineLevel="0" collapsed="false">
      <c r="A21" s="4" t="s">
        <v>182</v>
      </c>
      <c r="B21" s="27" t="n">
        <f aca="false">B20*B9</f>
        <v>3052.70784</v>
      </c>
    </row>
    <row r="22" customFormat="false" ht="15" hidden="false" customHeight="false" outlineLevel="0" collapsed="false">
      <c r="A22" s="4" t="s">
        <v>98</v>
      </c>
      <c r="B22" s="24" t="n">
        <f aca="false">Assumptions!$B$41</f>
        <v>421</v>
      </c>
    </row>
    <row r="23" customFormat="false" ht="15" hidden="false" customHeight="false" outlineLevel="0" collapsed="false">
      <c r="A23" s="8" t="s">
        <v>183</v>
      </c>
      <c r="B23" s="9" t="n">
        <f aca="false">B21+Assumptions!$B$41</f>
        <v>3473.70784</v>
      </c>
    </row>
    <row r="24" customFormat="false" ht="15" hidden="false" customHeight="false" outlineLevel="0" collapsed="false">
      <c r="A24" s="35" t="s">
        <v>144</v>
      </c>
    </row>
    <row r="30" customFormat="false" ht="15" hidden="false" customHeight="false" outlineLevel="0" collapsed="false">
      <c r="A30" s="35" t="s">
        <v>144</v>
      </c>
      <c r="B30" s="56" t="n">
        <f aca="false">(B20*(B9-2)+Assumptions!$B$41)/Assumptions!$B$40</f>
        <v>213.915966197183</v>
      </c>
      <c r="C30" s="56" t="n">
        <f aca="false">B23/Assumptions!$B$40</f>
        <v>244.627312676056</v>
      </c>
      <c r="D30" s="56" t="n">
        <f aca="false">(B20*(B9+2)+Assumptions!$B$41)/Assumptions!$B$40</f>
        <v>275.33865915493</v>
      </c>
    </row>
  </sheetData>
  <mergeCells count="5">
    <mergeCell ref="A1:H1"/>
    <mergeCell ref="A2:H2"/>
    <mergeCell ref="A4:H4"/>
    <mergeCell ref="A11:H11"/>
    <mergeCell ref="A19:H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6" min="2" style="0" width="16"/>
    <col collapsed="false" customWidth="true" hidden="false" outlineLevel="0" max="7" min="7" style="0" width="12"/>
  </cols>
  <sheetData>
    <row r="1" customFormat="false" ht="25.5" hidden="false" customHeight="true" outlineLevel="0" collapsed="false">
      <c r="A1" s="1" t="s">
        <v>184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185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186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43" t="s">
        <v>187</v>
      </c>
      <c r="B5" s="44" t="s">
        <v>188</v>
      </c>
      <c r="C5" s="44" t="s">
        <v>12</v>
      </c>
      <c r="D5" s="44" t="s">
        <v>189</v>
      </c>
      <c r="E5" s="43" t="s">
        <v>190</v>
      </c>
    </row>
    <row r="6" customFormat="false" ht="15" hidden="false" customHeight="false" outlineLevel="0" collapsed="false">
      <c r="A6" s="4" t="s">
        <v>191</v>
      </c>
      <c r="B6" s="47" t="n">
        <v>0.08</v>
      </c>
      <c r="C6" s="47" t="n">
        <v>0.18</v>
      </c>
      <c r="D6" s="47" t="n">
        <v>0.28</v>
      </c>
    </row>
    <row r="7" customFormat="false" ht="15" hidden="false" customHeight="false" outlineLevel="0" collapsed="false">
      <c r="A7" s="4" t="s">
        <v>192</v>
      </c>
      <c r="B7" s="47" t="n">
        <v>0.155</v>
      </c>
      <c r="C7" s="47" t="n">
        <v>0.18</v>
      </c>
      <c r="D7" s="47" t="n">
        <v>0.2</v>
      </c>
    </row>
    <row r="8" customFormat="false" ht="15" hidden="false" customHeight="false" outlineLevel="0" collapsed="false">
      <c r="A8" s="4" t="s">
        <v>193</v>
      </c>
      <c r="B8" s="46" t="n">
        <v>10</v>
      </c>
      <c r="C8" s="46" t="n">
        <v>14</v>
      </c>
      <c r="D8" s="46" t="n">
        <v>18</v>
      </c>
    </row>
    <row r="9" customFormat="false" ht="15" hidden="false" customHeight="false" outlineLevel="0" collapsed="false">
      <c r="A9" s="4" t="s">
        <v>194</v>
      </c>
      <c r="B9" s="47" t="n">
        <v>0.02</v>
      </c>
      <c r="C9" s="47" t="n">
        <v>0.03</v>
      </c>
      <c r="D9" s="47" t="n">
        <v>0.04</v>
      </c>
    </row>
    <row r="11" customFormat="false" ht="18" hidden="false" customHeight="true" outlineLevel="0" collapsed="false">
      <c r="A11" s="3" t="s">
        <v>195</v>
      </c>
      <c r="B11" s="3"/>
      <c r="C11" s="3"/>
      <c r="D11" s="3"/>
      <c r="E11" s="3"/>
      <c r="F11" s="3"/>
      <c r="G11" s="3"/>
      <c r="H11" s="3"/>
    </row>
    <row r="12" customFormat="false" ht="15" hidden="false" customHeight="false" outlineLevel="0" collapsed="false">
      <c r="A12" s="4" t="s">
        <v>196</v>
      </c>
      <c r="B12" s="55" t="n">
        <f aca="false">Assumptions!$B$5*(1+B6)^3*B7</f>
        <v>184.438213056</v>
      </c>
      <c r="C12" s="55" t="n">
        <f aca="false">Assumptions!$B$5*(1+C6)^3*C7</f>
        <v>279.361444896</v>
      </c>
      <c r="D12" s="55" t="n">
        <f aca="false">Assumptions!$B$5*(1+D6)^3*D7</f>
        <v>396.19395584</v>
      </c>
    </row>
    <row r="13" customFormat="false" ht="15" hidden="false" customHeight="false" outlineLevel="0" collapsed="false">
      <c r="A13" s="4" t="s">
        <v>143</v>
      </c>
      <c r="B13" s="55" t="n">
        <f aca="false">B12*B8</f>
        <v>1844.38213056</v>
      </c>
      <c r="C13" s="55" t="n">
        <f aca="false">C12*C8</f>
        <v>3911.060228544</v>
      </c>
      <c r="D13" s="55" t="n">
        <f aca="false">D12*D8</f>
        <v>7131.49120512</v>
      </c>
    </row>
    <row r="14" customFormat="false" ht="15" hidden="false" customHeight="false" outlineLevel="0" collapsed="false">
      <c r="A14" s="39" t="s">
        <v>144</v>
      </c>
      <c r="B14" s="67" t="n">
        <f aca="false">(B13+Assumptions!$B$41)/Assumptions!$B$40</f>
        <v>159.533952856338</v>
      </c>
      <c r="C14" s="67" t="n">
        <f aca="false">(C13+Assumptions!$B$41)/Assumptions!$B$40</f>
        <v>305.074663981972</v>
      </c>
      <c r="D14" s="67" t="n">
        <f aca="false">(D13+Assumptions!$B$41)/Assumptions!$B$40</f>
        <v>531.865577825352</v>
      </c>
    </row>
    <row r="15" customFormat="false" ht="15" hidden="false" customHeight="false" outlineLevel="0" collapsed="false">
      <c r="A15" s="4" t="s">
        <v>197</v>
      </c>
      <c r="B15" s="47" t="n">
        <v>0.25</v>
      </c>
      <c r="C15" s="47" t="n">
        <v>0.5</v>
      </c>
      <c r="D15" s="47" t="n">
        <v>0.25</v>
      </c>
    </row>
    <row r="16" customFormat="false" ht="15" hidden="false" customHeight="false" outlineLevel="0" collapsed="false">
      <c r="A16" s="68" t="s">
        <v>198</v>
      </c>
      <c r="B16" s="56" t="n">
        <f aca="false">B14*B15+C14*C15+D14*D15</f>
        <v>325.387214661409</v>
      </c>
    </row>
    <row r="17" customFormat="false" ht="15" hidden="false" customHeight="false" outlineLevel="0" collapsed="false">
      <c r="A17" s="8" t="s">
        <v>199</v>
      </c>
      <c r="B17" s="69" t="n">
        <f aca="false">B16/Assumptions!$B$39-1</f>
        <v>-0.548073312970266</v>
      </c>
    </row>
    <row r="22" customFormat="false" ht="15" hidden="false" customHeight="false" outlineLevel="0" collapsed="false">
      <c r="E22" s="61" t="s">
        <v>200</v>
      </c>
      <c r="F22" s="52" t="n">
        <f aca="false">B16</f>
        <v>325.387214661409</v>
      </c>
    </row>
  </sheetData>
  <mergeCells count="4">
    <mergeCell ref="A1:H1"/>
    <mergeCell ref="A2:H2"/>
    <mergeCell ref="A4:H4"/>
    <mergeCell ref="A11:H1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8" min="2" style="0" width="13"/>
  </cols>
  <sheetData>
    <row r="1" customFormat="false" ht="25.5" hidden="false" customHeight="true" outlineLevel="0" collapsed="false">
      <c r="A1" s="1" t="s">
        <v>201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2" t="s">
        <v>202</v>
      </c>
      <c r="B2" s="2"/>
      <c r="C2" s="2"/>
      <c r="D2" s="2"/>
      <c r="E2" s="2"/>
      <c r="F2" s="2"/>
      <c r="G2" s="2"/>
      <c r="H2" s="2"/>
    </row>
    <row r="4" customFormat="false" ht="18" hidden="false" customHeight="true" outlineLevel="0" collapsed="false">
      <c r="A4" s="3" t="s">
        <v>203</v>
      </c>
      <c r="B4" s="3"/>
      <c r="C4" s="3"/>
      <c r="D4" s="3"/>
      <c r="E4" s="3"/>
      <c r="F4" s="3"/>
      <c r="G4" s="3"/>
      <c r="H4" s="3"/>
    </row>
    <row r="5" customFormat="false" ht="15" hidden="false" customHeight="false" outlineLevel="0" collapsed="false">
      <c r="A5" s="70" t="s">
        <v>204</v>
      </c>
      <c r="B5" s="71" t="n">
        <f aca="false">Assumptions!$B$6*(1-Assumptions!$B$9)</f>
        <v>139.6824</v>
      </c>
    </row>
    <row r="6" customFormat="false" ht="15" hidden="false" customHeight="false" outlineLevel="0" collapsed="false">
      <c r="A6" s="70" t="s">
        <v>205</v>
      </c>
      <c r="B6" s="72" t="n">
        <v>0.11</v>
      </c>
    </row>
    <row r="8" customFormat="false" ht="15" hidden="false" customHeight="false" outlineLevel="0" collapsed="false">
      <c r="A8" s="73" t="s">
        <v>206</v>
      </c>
      <c r="B8" s="74" t="n">
        <v>0.02</v>
      </c>
      <c r="C8" s="74" t="n">
        <v>0.025</v>
      </c>
      <c r="D8" s="74" t="n">
        <v>0.03</v>
      </c>
      <c r="E8" s="74" t="n">
        <v>0.035</v>
      </c>
      <c r="F8" s="74" t="n">
        <v>0.04</v>
      </c>
    </row>
    <row r="9" customFormat="false" ht="15" hidden="false" customHeight="false" outlineLevel="0" collapsed="false">
      <c r="A9" s="75" t="n">
        <v>0.075</v>
      </c>
      <c r="B9" s="55" t="n">
        <f aca="false">(B5*(1+B6)*(1-((1+B6)/(1+0.075))^5)/(0.075-B6) + (B5*(1+B6)^5*(1+0.02)/(0.075-0.02))/(1+0.075)^5 + Assumptions!$B$41)/Assumptions!$B$40</f>
        <v>297.972588661313</v>
      </c>
      <c r="C9" s="55" t="n">
        <f aca="false">(B5*(1+B6)*(1-((1+B6)/(1+0.075))^5)/(0.075-B6) + (B5*(1+B6)^5*(1+0.025)/(0.075-0.025))/(1+0.075)^5 + Assumptions!$B$41)/Assumptions!$B$40</f>
        <v>320.539477594386</v>
      </c>
      <c r="D9" s="55" t="n">
        <f aca="false">(B5*(1+B6)*(1-((1+B6)/(1+0.075))^5)/(0.075-B6) + (B5*(1+B6)^5*(1+0.03)/(0.075-0.03))/(1+0.075)^5 + Assumptions!$B$41)/Assumptions!$B$40</f>
        <v>348.121230734809</v>
      </c>
      <c r="E9" s="55" t="n">
        <f aca="false">(B5*(1+B6)*(1-((1+B6)/(1+0.075))^5)/(0.075-B6) + (B5*(1+B6)^5*(1+0.035)/(0.075-0.035))/(1+0.075)^5 + Assumptions!$B$41)/Assumptions!$B$40</f>
        <v>382.598422160337</v>
      </c>
      <c r="F9" s="55" t="n">
        <f aca="false">(B5*(1+B6)*(1-((1+B6)/(1+0.075))^5)/(0.075-B6) + (B5*(1+B6)^5*(1+0.04)/(0.075-0.04))/(1+0.075)^5 + Assumptions!$B$41)/Assumptions!$B$40</f>
        <v>426.926239707445</v>
      </c>
    </row>
    <row r="10" customFormat="false" ht="15" hidden="false" customHeight="false" outlineLevel="0" collapsed="false">
      <c r="A10" s="75" t="n">
        <v>0.085</v>
      </c>
      <c r="B10" s="55" t="n">
        <f aca="false">(B5*(1+B6)*(1-((1+B6)/(1+0.085))^5)/(0.085-B6) + (B5*(1+B6)^5*(1+0.02)/(0.085-0.02))/(1+0.085)^5 + Assumptions!$B$41)/Assumptions!$B$40</f>
        <v>255.322083369723</v>
      </c>
      <c r="C10" s="55" t="n">
        <f aca="false">(B5*(1+B6)*(1-((1+B6)/(1+0.085))^5)/(0.085-B6) + (B5*(1+B6)^5*(1+0.025)/(0.085-0.025))/(1+0.085)^5 + Assumptions!$B$41)/Assumptions!$B$40</f>
        <v>270.656055956855</v>
      </c>
      <c r="D10" s="55" t="n">
        <f aca="false">(B5*(1+B6)*(1-((1+B6)/(1+0.085))^5)/(0.085-B6) + (B5*(1+B6)^5*(1+0.03)/(0.085-0.03))/(1+0.085)^5 + Assumptions!$B$41)/Assumptions!$B$40</f>
        <v>288.778023559829</v>
      </c>
      <c r="E10" s="55" t="n">
        <f aca="false">(B5*(1+B6)*(1-((1+B6)/(1+0.085))^5)/(0.085-B6) + (B5*(1+B6)^5*(1+0.035)/(0.085-0.035))/(1+0.085)^5 + Assumptions!$B$41)/Assumptions!$B$40</f>
        <v>310.524384683398</v>
      </c>
      <c r="F10" s="55" t="n">
        <f aca="false">(B5*(1+B6)*(1-((1+B6)/(1+0.085))^5)/(0.085-B6) + (B5*(1+B6)^5*(1+0.04)/(0.085-0.04))/(1+0.085)^5 + Assumptions!$B$41)/Assumptions!$B$40</f>
        <v>337.103270501093</v>
      </c>
    </row>
    <row r="11" customFormat="false" ht="15" hidden="false" customHeight="false" outlineLevel="0" collapsed="false">
      <c r="A11" s="75" t="n">
        <v>0.095</v>
      </c>
      <c r="B11" s="55" t="n">
        <f aca="false">(B5*(1+B6)*(1-((1+B6)/(1+0.095))^5)/(0.095-B6) + (B5*(1+B6)^5*(1+0.02)/(0.095-0.02))/(1+0.095)^5 + Assumptions!$B$41)/Assumptions!$B$40</f>
        <v>224.088255751275</v>
      </c>
      <c r="C11" s="55" t="n">
        <f aca="false">(B5*(1+B6)*(1-((1+B6)/(1+0.095))^5)/(0.095-B6) + (B5*(1+B6)^5*(1+0.025)/(0.095-0.025))/(1+0.095)^5 + Assumptions!$B$41)/Assumptions!$B$40</f>
        <v>235.068764496805</v>
      </c>
      <c r="D11" s="76" t="n">
        <f aca="false">(B5*(1+B6)*(1-((1+B6)/(1+0.095))^5)/(0.095-B6) + (B5*(1+B6)^5*(1+0.03)/(0.095-0.03))/(1+0.095)^5 + Assumptions!$B$41)/Assumptions!$B$40</f>
        <v>247.738582280109</v>
      </c>
      <c r="E11" s="55" t="n">
        <f aca="false">(B5*(1+B6)*(1-((1+B6)/(1+0.095))^5)/(0.095-B6) + (B5*(1+B6)^5*(1+0.035)/(0.095-0.035))/(1+0.095)^5 + Assumptions!$B$41)/Assumptions!$B$40</f>
        <v>262.52003636063</v>
      </c>
      <c r="F11" s="55" t="n">
        <f aca="false">(B5*(1+B6)*(1-((1+B6)/(1+0.095))^5)/(0.095-B6) + (B5*(1+B6)^5*(1+0.04)/(0.095-0.04))/(1+0.095)^5 + Assumptions!$B$41)/Assumptions!$B$40</f>
        <v>279.9890275467</v>
      </c>
    </row>
    <row r="12" customFormat="false" ht="15" hidden="false" customHeight="false" outlineLevel="0" collapsed="false">
      <c r="A12" s="75" t="n">
        <v>0.105</v>
      </c>
      <c r="B12" s="55" t="n">
        <f aca="false">(B5*(1+B6)*(1-((1+B6)/(1+0.105))^5)/(0.105-B6) + (B5*(1+B6)^5*(1+0.02)/(0.105-0.02))/(1+0.105)^5 + Assumptions!$B$41)/Assumptions!$B$40</f>
        <v>200.239892401758</v>
      </c>
      <c r="C12" s="55" t="n">
        <f aca="false">(B5*(1+B6)*(1-((1+B6)/(1+0.105))^5)/(0.105-B6) + (B5*(1+B6)^5*(1+0.025)/(0.105-0.025))/(1+0.105)^5 + Assumptions!$B$41)/Assumptions!$B$40</f>
        <v>208.41475040061</v>
      </c>
      <c r="D12" s="55" t="n">
        <f aca="false">(B5*(1+B6)*(1-((1+B6)/(1+0.105))^5)/(0.105-B6) + (B5*(1+B6)^5*(1+0.03)/(0.105-0.03))/(1+0.105)^5 + Assumptions!$B$41)/Assumptions!$B$40</f>
        <v>217.679589465976</v>
      </c>
      <c r="E12" s="55" t="n">
        <f aca="false">(B5*(1+B6)*(1-((1+B6)/(1+0.105))^5)/(0.105-B6) + (B5*(1+B6)^5*(1+0.035)/(0.105-0.035))/(1+0.105)^5 + Assumptions!$B$41)/Assumptions!$B$40</f>
        <v>228.267976969251</v>
      </c>
      <c r="F12" s="55" t="n">
        <f aca="false">(B5*(1+B6)*(1-((1+B6)/(1+0.105))^5)/(0.105-B6) + (B5*(1+B6)^5*(1+0.04)/(0.105-0.04))/(1+0.105)^5 + Assumptions!$B$41)/Assumptions!$B$40</f>
        <v>240.485347165337</v>
      </c>
    </row>
    <row r="13" customFormat="false" ht="15" hidden="false" customHeight="false" outlineLevel="0" collapsed="false">
      <c r="A13" s="75" t="n">
        <v>0.115</v>
      </c>
      <c r="B13" s="55" t="n">
        <f aca="false">(B5*(1+B6)*(1-((1+B6)/(1+0.115))^5)/(0.115-B6) + (B5*(1+B6)^5*(1+0.02)/(0.115-0.02))/(1+0.115)^5 + Assumptions!$B$41)/Assumptions!$B$40</f>
        <v>181.44322438401</v>
      </c>
      <c r="C13" s="55" t="n">
        <f aca="false">(B5*(1+B6)*(1-((1+B6)/(1+0.115))^5)/(0.115-B6) + (B5*(1+B6)^5*(1+0.025)/(0.115-0.025))/(1+0.115)^5 + Assumptions!$B$41)/Assumptions!$B$40</f>
        <v>187.714742166515</v>
      </c>
      <c r="D13" s="55" t="n">
        <f aca="false">(B5*(1+B6)*(1-((1+B6)/(1+0.115))^5)/(0.115-B6) + (B5*(1+B6)^5*(1+0.03)/(0.115-0.03))/(1+0.115)^5 + Assumptions!$B$41)/Assumptions!$B$40</f>
        <v>194.724085570491</v>
      </c>
      <c r="E13" s="55" t="n">
        <f aca="false">(B5*(1+B6)*(1-((1+B6)/(1+0.115))^5)/(0.115-B6) + (B5*(1+B6)^5*(1+0.035)/(0.115-0.035))/(1+0.115)^5 + Assumptions!$B$41)/Assumptions!$B$40</f>
        <v>202.609596899963</v>
      </c>
      <c r="F13" s="55" t="n">
        <f aca="false">(B5*(1+B6)*(1-((1+B6)/(1+0.115))^5)/(0.115-B6) + (B5*(1+B6)^5*(1+0.04)/(0.115-0.04))/(1+0.115)^5 + Assumptions!$B$41)/Assumptions!$B$40</f>
        <v>211.546509740032</v>
      </c>
    </row>
    <row r="15" customFormat="false" ht="15" hidden="false" customHeight="true" outlineLevel="0" collapsed="false">
      <c r="A15" s="19" t="s">
        <v>207</v>
      </c>
      <c r="B15" s="19"/>
      <c r="C15" s="19"/>
      <c r="D15" s="19"/>
      <c r="E15" s="19"/>
      <c r="F15" s="19"/>
      <c r="G15" s="19"/>
      <c r="H15" s="19"/>
    </row>
    <row r="16" customFormat="false" ht="15" hidden="false" customHeight="false" outlineLevel="0" collapsed="false">
      <c r="A16" s="19"/>
      <c r="B16" s="19"/>
      <c r="C16" s="19"/>
      <c r="D16" s="19"/>
      <c r="E16" s="19"/>
      <c r="F16" s="19"/>
      <c r="G16" s="19"/>
      <c r="H16" s="19"/>
    </row>
  </sheetData>
  <mergeCells count="4">
    <mergeCell ref="A1:H1"/>
    <mergeCell ref="A2:H2"/>
    <mergeCell ref="A4:H4"/>
    <mergeCell ref="A15:H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2026-06-17T20:52:48Z</dcterms:created>
  <dc:creator>openpyxl</dc:creator>
  <dc:description/>
  <dc:language>en-US</dc:language>
  <cp:lastModifiedBy/>
  <dcterms:modified xsi:type="dcterms:W3CDTF">2026-06-17T20:52:48Z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